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uff\BlueSky\"/>
    </mc:Choice>
  </mc:AlternateContent>
  <xr:revisionPtr revIDLastSave="0" documentId="13_ncr:1_{6277B1F2-4151-4CA4-8606-880E643538AE}" xr6:coauthVersionLast="47" xr6:coauthVersionMax="47" xr10:uidLastSave="{00000000-0000-0000-0000-000000000000}"/>
  <workbookProtection workbookAlgorithmName="SHA-512" workbookHashValue="3lmPP5naw75cfrrmnvl0M9v20wuKb16mooZJBEv8+ESICiaHXby7k9fI6V52KL5R1QB+4Di1vCnZD/QxrnmIbg==" workbookSaltValue="iGSApUKVutA/z0IKeJFaQg==" workbookSpinCount="100000" lockStructure="1"/>
  <bookViews>
    <workbookView xWindow="29655" yWindow="120" windowWidth="21570" windowHeight="15465" xr2:uid="{00000000-000D-0000-FFFF-FFFF00000000}"/>
  </bookViews>
  <sheets>
    <sheet name="Menu" sheetId="4" r:id="rId1"/>
    <sheet name="N642SP" sheetId="1" r:id="rId2"/>
    <sheet name="N2915M" sheetId="8" r:id="rId3"/>
    <sheet name="N2915M Worksheet" sheetId="10" state="hidden" r:id="rId4"/>
    <sheet name="N9758H" sheetId="9" r:id="rId5"/>
    <sheet name="Change History" sheetId="6" r:id="rId6"/>
  </sheets>
  <definedNames>
    <definedName name="_xlnm.Print_Area" localSheetId="2">N2915M!$A$1:$K$39</definedName>
    <definedName name="_xlnm.Print_Area" localSheetId="1">N642SP!$A$1:$J$37</definedName>
    <definedName name="_xlnm.Print_Area" localSheetId="4">#N/A</definedName>
  </definedNames>
  <calcPr calcId="181029"/>
</workbook>
</file>

<file path=xl/calcChain.xml><?xml version="1.0" encoding="utf-8"?>
<calcChain xmlns="http://schemas.openxmlformats.org/spreadsheetml/2006/main">
  <c r="C11" i="8" l="1"/>
  <c r="E11" i="8" s="1"/>
  <c r="F11" i="8" s="1"/>
  <c r="C10" i="8"/>
  <c r="C8" i="8"/>
  <c r="G12" i="8"/>
  <c r="G19" i="9"/>
  <c r="G18" i="9"/>
  <c r="G17" i="9"/>
  <c r="G15" i="9"/>
  <c r="G13" i="9"/>
  <c r="G12" i="9"/>
  <c r="G15" i="1"/>
  <c r="G13" i="1"/>
  <c r="G12" i="1"/>
  <c r="G11" i="1"/>
  <c r="G13" i="8"/>
  <c r="G16" i="8"/>
  <c r="E12" i="10"/>
  <c r="D12" i="10" s="1"/>
  <c r="C12" i="10"/>
  <c r="D10" i="10"/>
  <c r="E10" i="10"/>
  <c r="C10" i="10"/>
  <c r="D7" i="10"/>
  <c r="E7" i="10"/>
  <c r="C7" i="10"/>
  <c r="E9" i="10"/>
  <c r="E6" i="10"/>
  <c r="E5" i="10"/>
  <c r="E4" i="10"/>
  <c r="H1" i="9"/>
  <c r="E10" i="9"/>
  <c r="E17" i="9" s="1"/>
  <c r="C6" i="9"/>
  <c r="C15" i="9"/>
  <c r="E15" i="9"/>
  <c r="F15" i="9" s="1"/>
  <c r="E11" i="9"/>
  <c r="E12" i="9"/>
  <c r="F12" i="9" s="1"/>
  <c r="E13" i="9"/>
  <c r="E14" i="9"/>
  <c r="K53" i="9"/>
  <c r="J53" i="9"/>
  <c r="K50" i="9"/>
  <c r="J50" i="9"/>
  <c r="E50" i="9"/>
  <c r="D50" i="9"/>
  <c r="E53" i="9"/>
  <c r="D53" i="9"/>
  <c r="F18" i="9"/>
  <c r="F14" i="9"/>
  <c r="F16" i="9"/>
  <c r="F13" i="9"/>
  <c r="F11" i="9"/>
  <c r="F5" i="9"/>
  <c r="D5" i="9"/>
  <c r="C6" i="8"/>
  <c r="D5" i="8"/>
  <c r="F14" i="8"/>
  <c r="C13" i="8"/>
  <c r="E12" i="8"/>
  <c r="F12" i="8" s="1"/>
  <c r="E10" i="8"/>
  <c r="F10" i="8" s="1"/>
  <c r="F5" i="8"/>
  <c r="H1" i="8"/>
  <c r="E9" i="1"/>
  <c r="F9" i="1" s="1"/>
  <c r="D5" i="1"/>
  <c r="C13" i="1"/>
  <c r="E13" i="1"/>
  <c r="F13" i="1"/>
  <c r="H1" i="1"/>
  <c r="E12" i="1"/>
  <c r="F12" i="1"/>
  <c r="E11" i="1"/>
  <c r="F11" i="1"/>
  <c r="F14" i="1"/>
  <c r="F5" i="1"/>
  <c r="C6" i="1"/>
  <c r="C15" i="1"/>
  <c r="E10" i="1"/>
  <c r="F10" i="1"/>
  <c r="C17" i="9"/>
  <c r="C19" i="9" s="1"/>
  <c r="F10" i="9"/>
  <c r="C15" i="8" l="1"/>
  <c r="G15" i="8" s="1"/>
  <c r="E13" i="8"/>
  <c r="F13" i="8" s="1"/>
  <c r="E19" i="9"/>
  <c r="F17" i="9"/>
  <c r="D17" i="9"/>
  <c r="E15" i="1"/>
  <c r="C17" i="8" l="1"/>
  <c r="G17" i="8" s="1"/>
  <c r="E15" i="8"/>
  <c r="D15" i="8" s="1"/>
  <c r="D15" i="1"/>
  <c r="F15" i="1"/>
  <c r="F19" i="9"/>
  <c r="D19" i="9"/>
  <c r="E17" i="8" l="1"/>
  <c r="D17" i="8" s="1"/>
  <c r="F15" i="8"/>
  <c r="F17" i="8" l="1"/>
</calcChain>
</file>

<file path=xl/sharedStrings.xml><?xml version="1.0" encoding="utf-8"?>
<sst xmlns="http://schemas.openxmlformats.org/spreadsheetml/2006/main" count="149" uniqueCount="94">
  <si>
    <t>C.G.</t>
  </si>
  <si>
    <t>Front Passengers</t>
  </si>
  <si>
    <t>Rear Passengers</t>
  </si>
  <si>
    <t>Baggage Area 2</t>
  </si>
  <si>
    <t>Basic Empty Weight</t>
  </si>
  <si>
    <t>Moment</t>
  </si>
  <si>
    <t>Useful Load</t>
  </si>
  <si>
    <t>Max Take Off Weight</t>
  </si>
  <si>
    <t>Weight (lbs)</t>
  </si>
  <si>
    <t>Loaded Weight (lbs)</t>
  </si>
  <si>
    <t>Loaded Moment / 1000</t>
  </si>
  <si>
    <t>Center of Gravity Moment Envelope</t>
  </si>
  <si>
    <t>Normal Category</t>
  </si>
  <si>
    <t>Utility Category</t>
  </si>
  <si>
    <t>Center of Gravity Limits</t>
  </si>
  <si>
    <t>Loaded Airplane Weight (lbs)</t>
  </si>
  <si>
    <t>Airplane CG Location</t>
  </si>
  <si>
    <t>CHART REFERENCE DATA - DO NOT MODIFY</t>
  </si>
  <si>
    <t>Data obtained from pages 6-15 and 6-16 in the 172S Skyhawk Information manual</t>
  </si>
  <si>
    <t>Gals Usable Fuel (53 max)</t>
  </si>
  <si>
    <t>Gals Usable Fuel (88 max)</t>
  </si>
  <si>
    <t>Notes:</t>
  </si>
  <si>
    <t>Blue Sky Aviation Association</t>
  </si>
  <si>
    <t xml:space="preserve"> </t>
  </si>
  <si>
    <t>Weight &amp; Balance Calculator</t>
  </si>
  <si>
    <t>Cessna Skyhawk 172S</t>
  </si>
  <si>
    <t>Baggage Area A</t>
  </si>
  <si>
    <t>Baggage Area B</t>
  </si>
  <si>
    <t>Baggage Area 1</t>
  </si>
  <si>
    <t>Select a plane:</t>
  </si>
  <si>
    <t>Date</t>
  </si>
  <si>
    <t>Changes</t>
  </si>
  <si>
    <t>Updated W&amp;B for N736RE after upgrades and new paint (M. Levine)</t>
  </si>
  <si>
    <t>Added W&amp;B tab for N3471R (M. Levine)</t>
  </si>
  <si>
    <t>New!</t>
  </si>
  <si>
    <t>The following changes were made to this spreadsheet:</t>
  </si>
  <si>
    <t>Removed N3471R, fixed broken links. (M. Levine)</t>
  </si>
  <si>
    <t>Updated N642SP with 5/2/12 W&amp;B - swap of GPS  (M. Levine)</t>
  </si>
  <si>
    <t>Updated N13917M with new re-weigh numbers - New engine (M. Levine)</t>
  </si>
  <si>
    <t>Updated N736RE with 5/17/12 W&amp;B - swap of Nav/com #2 radios  (M. Levine)</t>
  </si>
  <si>
    <t>Updated all three planes after new ELT 406 GPS installation (M. Levine)</t>
  </si>
  <si>
    <t>Updated N642SP after ADS-B installation and autopilot change  (M. Levine)</t>
  </si>
  <si>
    <t>Updated N736RE with 11/9/16 W&amp;B - Install GTX345 ABS-B  (M. Levine)</t>
  </si>
  <si>
    <t xml:space="preserve">Add Diamond N263DS using 8/30/16 W&amp;B (M.Levine) </t>
  </si>
  <si>
    <t>Total Take-Off Weight</t>
  </si>
  <si>
    <t>Max Landing Weight</t>
  </si>
  <si>
    <t>Max Take-Off Weight</t>
  </si>
  <si>
    <t>Gals fuel burned in flight</t>
  </si>
  <si>
    <t>Total Landing Weight</t>
  </si>
  <si>
    <t>Remove N3917M</t>
  </si>
  <si>
    <t>Updated N263DS with 8/17/1028 W&amp;B after ADS-B &amp; Flightstream install (S. Timko)</t>
  </si>
  <si>
    <t>As of W&amp;B sheet dated 1/21/2019</t>
  </si>
  <si>
    <t>Updated N642SP with 1/21/2019 flightstream add (S. Timko)</t>
  </si>
  <si>
    <t>Cessna Skylane 182R</t>
  </si>
  <si>
    <t>Data obtained from page 6-12 in the N9758H Pilot Operating Handbook</t>
  </si>
  <si>
    <t>Data obtained from page 6-13 in the N9758H Pilot Operating Handbook</t>
  </si>
  <si>
    <t>Add N9758H using POH and W&amp;B from 12/21/16; Remove N736RE (M. Levine)</t>
  </si>
  <si>
    <t>Baggage Area C</t>
  </si>
  <si>
    <t>Take off and Landing</t>
  </si>
  <si>
    <t>Takeoff Only</t>
  </si>
  <si>
    <t>Takeoff and Landing</t>
  </si>
  <si>
    <t>R2</t>
  </si>
  <si>
    <t>R1 - Initial; 58H Useful load taken from W&amp;B sheet.</t>
  </si>
  <si>
    <t>R2 - 58H Useful load calculated (error with value in W&amp;B sheet)</t>
  </si>
  <si>
    <t>Max Ramp Weight</t>
  </si>
  <si>
    <t>Note: Max T/O weight is 3,100 lbs</t>
  </si>
  <si>
    <t>Correct max ramp weight of N9758H; Useful load matches W&amp;B (M. Levine)</t>
  </si>
  <si>
    <t>Fix flagging of max t/o weight exceeded for 58H. (Was using max ramp weight)</t>
  </si>
  <si>
    <t>Updated N9758H with 3/17/22 W&amp;B</t>
  </si>
  <si>
    <t>As of W&amp;B sheet dated 3/17/22</t>
  </si>
  <si>
    <t>Arm</t>
  </si>
  <si>
    <t>Total</t>
  </si>
  <si>
    <t>Total as weighed</t>
  </si>
  <si>
    <t>Right Main</t>
  </si>
  <si>
    <t>Left Main</t>
  </si>
  <si>
    <t>Nose</t>
  </si>
  <si>
    <t>Weight and Balance Report - N2915M as of 8/13/19</t>
  </si>
  <si>
    <t>Weight</t>
  </si>
  <si>
    <t>Fuel</t>
  </si>
  <si>
    <t>Empty Wt C.G.</t>
  </si>
  <si>
    <t>Will use 85.918 for W&amp;B spreadsheet</t>
  </si>
  <si>
    <t>W&amp;B sheet states 85.91 (truncated third decimal digit)</t>
  </si>
  <si>
    <t>Gals Usable Fuel (72 max)</t>
  </si>
  <si>
    <t>Baggage - 200 lbs. max</t>
  </si>
  <si>
    <t>Max ramp weight = 3,011 lbs</t>
  </si>
  <si>
    <t>92 shown as aft limit; 3000 lbs is max</t>
  </si>
  <si>
    <t>92 shown as aft limit; 1700 lbs is min</t>
  </si>
  <si>
    <t>79.8 shown as fwd limit; 1700 lbs is min</t>
  </si>
  <si>
    <t>Data obtained from POH - graph on Page 6-12 of Dakota-POH.pdf (All pts were visually interpreted)</t>
  </si>
  <si>
    <t>Piper Dakota N2915M</t>
  </si>
  <si>
    <t>Added Dakota N2915M using POH and W&amp;B from 8/13/19; Removed Diamond N263DS (M. Levine)
Fixed plane name on cell A4 of N2915M</t>
  </si>
  <si>
    <t>Last Rev: June 2, 2023</t>
  </si>
  <si>
    <t>As of W&amp;B sheet dated 6/25/2020</t>
  </si>
  <si>
    <t>Adjust Dakota N2915M basic empty data from latest W&amp;B sheet dated 6/25/20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</si>
</sst>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  <numFmt numFmtId="167" formatCode="_(* #,##0.000_);_(* \(#,##0.000\);_(* &quot;-&quot;??_);_(@_)"/>
  </numFmts>
  <fonts count="3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43"/>
      <name val="Arial"/>
      <family val="2"/>
    </font>
    <font>
      <sz val="10"/>
      <color indexed="43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b/>
      <sz val="14"/>
      <color indexed="17"/>
      <name val="Arial"/>
      <family val="2"/>
    </font>
    <font>
      <b/>
      <sz val="18"/>
      <color indexed="18"/>
      <name val="Arial"/>
      <family val="2"/>
    </font>
    <font>
      <b/>
      <u/>
      <sz val="16"/>
      <color indexed="12"/>
      <name val="Arial"/>
      <family val="2"/>
    </font>
    <font>
      <u/>
      <sz val="10"/>
      <name val="Arial"/>
      <family val="2"/>
    </font>
    <font>
      <sz val="10"/>
      <color theme="1"/>
      <name val="Arial"/>
      <family val="2"/>
    </font>
    <font>
      <sz val="10"/>
      <color rgb="FF00B0F0"/>
      <name val="Arial"/>
      <family val="2"/>
    </font>
    <font>
      <b/>
      <sz val="16"/>
      <color rgb="FFC00000"/>
      <name val="Arial"/>
      <family val="2"/>
    </font>
    <font>
      <sz val="10"/>
      <color rgb="FFC00000"/>
      <name val="Arial"/>
      <family val="2"/>
    </font>
    <font>
      <sz val="10"/>
      <color rgb="FFCCFFCC"/>
      <name val="Arial"/>
      <family val="2"/>
    </font>
    <font>
      <sz val="10"/>
      <color rgb="FF0070C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sz val="10"/>
      <name val="Arial"/>
    </font>
    <font>
      <b/>
      <sz val="10"/>
      <color theme="1"/>
      <name val="Arial"/>
      <family val="2"/>
    </font>
    <font>
      <b/>
      <sz val="10"/>
      <color rgb="FFC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rgb="FFCCFFC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>
      <alignment vertical="top"/>
      <protection locked="0"/>
    </xf>
    <xf numFmtId="43" fontId="28" fillId="0" borderId="0" applyFont="0" applyFill="0" applyBorder="0" applyAlignment="0" applyProtection="0"/>
  </cellStyleXfs>
  <cellXfs count="158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2" fillId="0" borderId="0" xfId="0" applyFont="1"/>
    <xf numFmtId="0" fontId="5" fillId="2" borderId="1" xfId="0" applyFont="1" applyFill="1" applyBorder="1"/>
    <xf numFmtId="2" fontId="6" fillId="2" borderId="0" xfId="0" applyNumberFormat="1" applyFont="1" applyFill="1"/>
    <xf numFmtId="0" fontId="6" fillId="2" borderId="0" xfId="0" applyFont="1" applyFill="1"/>
    <xf numFmtId="2" fontId="6" fillId="2" borderId="2" xfId="0" applyNumberFormat="1" applyFont="1" applyFill="1" applyBorder="1"/>
    <xf numFmtId="0" fontId="0" fillId="3" borderId="0" xfId="0" applyFill="1"/>
    <xf numFmtId="0" fontId="0" fillId="3" borderId="1" xfId="0" applyFill="1" applyBorder="1" applyAlignment="1">
      <alignment horizontal="right" wrapText="1"/>
    </xf>
    <xf numFmtId="0" fontId="0" fillId="3" borderId="0" xfId="0" applyFill="1" applyAlignment="1">
      <alignment horizontal="right" wrapText="1"/>
    </xf>
    <xf numFmtId="0" fontId="0" fillId="4" borderId="0" xfId="0" applyFill="1" applyAlignment="1">
      <alignment horizontal="right" wrapText="1"/>
    </xf>
    <xf numFmtId="0" fontId="0" fillId="4" borderId="2" xfId="0" applyFill="1" applyBorder="1" applyAlignment="1">
      <alignment horizontal="right" wrapText="1"/>
    </xf>
    <xf numFmtId="164" fontId="0" fillId="3" borderId="1" xfId="0" applyNumberFormat="1" applyFill="1" applyBorder="1"/>
    <xf numFmtId="164" fontId="0" fillId="4" borderId="0" xfId="0" applyNumberFormat="1" applyFill="1"/>
    <xf numFmtId="0" fontId="0" fillId="4" borderId="2" xfId="0" applyFill="1" applyBorder="1"/>
    <xf numFmtId="0" fontId="0" fillId="4" borderId="0" xfId="0" applyFill="1"/>
    <xf numFmtId="0" fontId="0" fillId="3" borderId="1" xfId="0" applyFill="1" applyBorder="1" applyAlignment="1">
      <alignment wrapText="1"/>
    </xf>
    <xf numFmtId="0" fontId="0" fillId="3" borderId="0" xfId="0" applyFill="1" applyAlignment="1">
      <alignment wrapText="1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wrapText="1"/>
    </xf>
    <xf numFmtId="0" fontId="0" fillId="3" borderId="1" xfId="0" applyFill="1" applyBorder="1"/>
    <xf numFmtId="0" fontId="0" fillId="3" borderId="3" xfId="0" applyFill="1" applyBorder="1"/>
    <xf numFmtId="0" fontId="0" fillId="3" borderId="4" xfId="0" applyFill="1" applyBorder="1"/>
    <xf numFmtId="0" fontId="0" fillId="4" borderId="4" xfId="0" applyFill="1" applyBorder="1"/>
    <xf numFmtId="0" fontId="0" fillId="4" borderId="5" xfId="0" applyFill="1" applyBorder="1"/>
    <xf numFmtId="0" fontId="3" fillId="5" borderId="6" xfId="0" applyFont="1" applyFill="1" applyBorder="1"/>
    <xf numFmtId="0" fontId="4" fillId="5" borderId="7" xfId="0" applyFont="1" applyFill="1" applyBorder="1"/>
    <xf numFmtId="0" fontId="4" fillId="5" borderId="8" xfId="0" applyFont="1" applyFill="1" applyBorder="1"/>
    <xf numFmtId="0" fontId="7" fillId="5" borderId="1" xfId="0" applyFont="1" applyFill="1" applyBorder="1"/>
    <xf numFmtId="0" fontId="0" fillId="5" borderId="0" xfId="0" applyFill="1"/>
    <xf numFmtId="0" fontId="0" fillId="5" borderId="2" xfId="0" applyFill="1" applyBorder="1"/>
    <xf numFmtId="0" fontId="2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2" fontId="0" fillId="4" borderId="2" xfId="0" applyNumberFormat="1" applyFill="1" applyBorder="1" applyAlignment="1">
      <alignment horizontal="center"/>
    </xf>
    <xf numFmtId="0" fontId="0" fillId="3" borderId="0" xfId="0" applyFill="1" applyAlignment="1">
      <alignment horizontal="left"/>
    </xf>
    <xf numFmtId="0" fontId="2" fillId="4" borderId="0" xfId="0" applyFont="1" applyFill="1" applyAlignment="1">
      <alignment horizontal="left"/>
    </xf>
    <xf numFmtId="2" fontId="0" fillId="4" borderId="2" xfId="0" applyNumberFormat="1" applyFill="1" applyBorder="1" applyAlignment="1">
      <alignment horizontal="left"/>
    </xf>
    <xf numFmtId="0" fontId="8" fillId="0" borderId="0" xfId="0" applyFont="1"/>
    <xf numFmtId="0" fontId="9" fillId="0" borderId="0" xfId="0" applyFont="1" applyAlignment="1">
      <alignment horizontal="left"/>
    </xf>
    <xf numFmtId="0" fontId="3" fillId="5" borderId="7" xfId="0" applyFont="1" applyFill="1" applyBorder="1"/>
    <xf numFmtId="0" fontId="7" fillId="5" borderId="0" xfId="0" applyFont="1" applyFill="1"/>
    <xf numFmtId="0" fontId="5" fillId="2" borderId="0" xfId="0" applyFont="1" applyFill="1"/>
    <xf numFmtId="0" fontId="2" fillId="3" borderId="0" xfId="0" applyFont="1" applyFill="1" applyAlignment="1">
      <alignment horizontal="center"/>
    </xf>
    <xf numFmtId="164" fontId="0" fillId="3" borderId="0" xfId="0" applyNumberFormat="1" applyFill="1"/>
    <xf numFmtId="0" fontId="10" fillId="0" borderId="0" xfId="0" applyFont="1"/>
    <xf numFmtId="0" fontId="0" fillId="6" borderId="9" xfId="0" applyFill="1" applyBorder="1" applyProtection="1">
      <protection locked="0"/>
    </xf>
    <xf numFmtId="164" fontId="12" fillId="0" borderId="0" xfId="0" applyNumberFormat="1" applyFont="1" applyAlignment="1">
      <alignment horizontal="left"/>
    </xf>
    <xf numFmtId="0" fontId="13" fillId="0" borderId="0" xfId="0" applyFont="1"/>
    <xf numFmtId="164" fontId="13" fillId="0" borderId="0" xfId="0" applyNumberFormat="1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5" fillId="0" borderId="0" xfId="0" applyFont="1"/>
    <xf numFmtId="164" fontId="11" fillId="0" borderId="0" xfId="0" applyNumberFormat="1" applyFont="1" applyAlignment="1">
      <alignment horizontal="left"/>
    </xf>
    <xf numFmtId="0" fontId="11" fillId="0" borderId="0" xfId="0" applyFont="1" applyAlignment="1">
      <alignment horizontal="left"/>
    </xf>
    <xf numFmtId="0" fontId="17" fillId="0" borderId="0" xfId="0" applyFont="1"/>
    <xf numFmtId="164" fontId="0" fillId="3" borderId="3" xfId="0" applyNumberFormat="1" applyFill="1" applyBorder="1"/>
    <xf numFmtId="164" fontId="0" fillId="3" borderId="4" xfId="0" applyNumberFormat="1" applyFill="1" applyBorder="1"/>
    <xf numFmtId="14" fontId="14" fillId="0" borderId="0" xfId="1" applyNumberFormat="1" applyAlignment="1" applyProtection="1">
      <alignment horizontal="left"/>
    </xf>
    <xf numFmtId="3" fontId="0" fillId="4" borderId="9" xfId="0" applyNumberFormat="1" applyFill="1" applyBorder="1"/>
    <xf numFmtId="0" fontId="5" fillId="7" borderId="9" xfId="0" applyFont="1" applyFill="1" applyBorder="1"/>
    <xf numFmtId="0" fontId="5" fillId="7" borderId="9" xfId="0" applyFont="1" applyFill="1" applyBorder="1" applyAlignment="1">
      <alignment horizontal="right"/>
    </xf>
    <xf numFmtId="0" fontId="5" fillId="7" borderId="9" xfId="0" applyFont="1" applyFill="1" applyBorder="1" applyAlignment="1">
      <alignment horizontal="left"/>
    </xf>
    <xf numFmtId="0" fontId="0" fillId="4" borderId="9" xfId="0" applyFill="1" applyBorder="1"/>
    <xf numFmtId="2" fontId="0" fillId="4" borderId="9" xfId="0" applyNumberFormat="1" applyFill="1" applyBorder="1"/>
    <xf numFmtId="4" fontId="0" fillId="4" borderId="9" xfId="0" applyNumberFormat="1" applyFill="1" applyBorder="1"/>
    <xf numFmtId="0" fontId="2" fillId="4" borderId="9" xfId="0" applyFont="1" applyFill="1" applyBorder="1"/>
    <xf numFmtId="0" fontId="11" fillId="4" borderId="9" xfId="0" applyFont="1" applyFill="1" applyBorder="1"/>
    <xf numFmtId="0" fontId="3" fillId="4" borderId="9" xfId="0" applyFont="1" applyFill="1" applyBorder="1"/>
    <xf numFmtId="2" fontId="2" fillId="4" borderId="9" xfId="0" applyNumberFormat="1" applyFont="1" applyFill="1" applyBorder="1"/>
    <xf numFmtId="4" fontId="2" fillId="4" borderId="9" xfId="0" applyNumberFormat="1" applyFont="1" applyFill="1" applyBorder="1"/>
    <xf numFmtId="0" fontId="3" fillId="4" borderId="9" xfId="0" quotePrefix="1" applyFont="1" applyFill="1" applyBorder="1"/>
    <xf numFmtId="0" fontId="1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10" xfId="0" applyFont="1" applyBorder="1"/>
    <xf numFmtId="0" fontId="18" fillId="0" borderId="0" xfId="1" applyFont="1" applyFill="1" applyAlignment="1" applyProtection="1">
      <alignment horizontal="left"/>
    </xf>
    <xf numFmtId="0" fontId="11" fillId="0" borderId="0" xfId="0" applyFont="1"/>
    <xf numFmtId="4" fontId="0" fillId="6" borderId="9" xfId="0" applyNumberFormat="1" applyFill="1" applyBorder="1" applyProtection="1">
      <protection locked="0"/>
    </xf>
    <xf numFmtId="14" fontId="2" fillId="0" borderId="0" xfId="0" applyNumberFormat="1" applyFont="1" applyAlignment="1">
      <alignment horizontal="left"/>
    </xf>
    <xf numFmtId="8" fontId="0" fillId="0" borderId="0" xfId="0" applyNumberFormat="1"/>
    <xf numFmtId="4" fontId="20" fillId="4" borderId="9" xfId="0" applyNumberFormat="1" applyFont="1" applyFill="1" applyBorder="1"/>
    <xf numFmtId="2" fontId="20" fillId="4" borderId="9" xfId="0" applyNumberFormat="1" applyFont="1" applyFill="1" applyBorder="1"/>
    <xf numFmtId="4" fontId="21" fillId="4" borderId="9" xfId="0" applyNumberFormat="1" applyFont="1" applyFill="1" applyBorder="1"/>
    <xf numFmtId="0" fontId="22" fillId="0" borderId="0" xfId="0" applyFont="1"/>
    <xf numFmtId="0" fontId="23" fillId="0" borderId="0" xfId="0" applyFont="1"/>
    <xf numFmtId="14" fontId="11" fillId="0" borderId="0" xfId="0" applyNumberFormat="1" applyFont="1" applyAlignment="1">
      <alignment horizontal="left"/>
    </xf>
    <xf numFmtId="0" fontId="24" fillId="4" borderId="9" xfId="0" applyFont="1" applyFill="1" applyBorder="1"/>
    <xf numFmtId="0" fontId="24" fillId="8" borderId="9" xfId="0" applyFont="1" applyFill="1" applyBorder="1"/>
    <xf numFmtId="0" fontId="0" fillId="0" borderId="0" xfId="0" applyAlignment="1">
      <alignment horizontal="right"/>
    </xf>
    <xf numFmtId="164" fontId="20" fillId="3" borderId="1" xfId="0" applyNumberFormat="1" applyFont="1" applyFill="1" applyBorder="1" applyAlignment="1">
      <alignment horizontal="right"/>
    </xf>
    <xf numFmtId="164" fontId="23" fillId="3" borderId="0" xfId="0" applyNumberFormat="1" applyFont="1" applyFill="1" applyAlignment="1">
      <alignment horizontal="right"/>
    </xf>
    <xf numFmtId="0" fontId="20" fillId="3" borderId="0" xfId="0" applyFont="1" applyFill="1" applyAlignment="1">
      <alignment horizontal="right"/>
    </xf>
    <xf numFmtId="164" fontId="0" fillId="4" borderId="0" xfId="0" applyNumberFormat="1" applyFill="1" applyAlignment="1">
      <alignment horizontal="right"/>
    </xf>
    <xf numFmtId="0" fontId="0" fillId="4" borderId="2" xfId="0" applyFill="1" applyBorder="1" applyAlignment="1">
      <alignment horizontal="right"/>
    </xf>
    <xf numFmtId="0" fontId="20" fillId="3" borderId="1" xfId="0" applyFont="1" applyFill="1" applyBorder="1" applyAlignment="1">
      <alignment horizontal="right" wrapText="1"/>
    </xf>
    <xf numFmtId="0" fontId="20" fillId="3" borderId="1" xfId="0" applyFont="1" applyFill="1" applyBorder="1" applyAlignment="1">
      <alignment horizontal="right"/>
    </xf>
    <xf numFmtId="0" fontId="0" fillId="4" borderId="0" xfId="0" applyFill="1" applyAlignment="1">
      <alignment horizontal="right"/>
    </xf>
    <xf numFmtId="0" fontId="11" fillId="4" borderId="0" xfId="0" applyFont="1" applyFill="1" applyAlignment="1">
      <alignment horizontal="right"/>
    </xf>
    <xf numFmtId="164" fontId="20" fillId="3" borderId="3" xfId="0" applyNumberFormat="1" applyFont="1" applyFill="1" applyBorder="1" applyAlignment="1">
      <alignment horizontal="right"/>
    </xf>
    <xf numFmtId="164" fontId="20" fillId="3" borderId="4" xfId="0" applyNumberFormat="1" applyFont="1" applyFill="1" applyBorder="1" applyAlignment="1">
      <alignment horizontal="right"/>
    </xf>
    <xf numFmtId="0" fontId="20" fillId="3" borderId="4" xfId="0" applyFont="1" applyFill="1" applyBorder="1" applyAlignment="1">
      <alignment horizontal="right"/>
    </xf>
    <xf numFmtId="0" fontId="20" fillId="4" borderId="4" xfId="0" applyFont="1" applyFill="1" applyBorder="1" applyAlignment="1">
      <alignment horizontal="right"/>
    </xf>
    <xf numFmtId="0" fontId="20" fillId="4" borderId="5" xfId="0" applyFont="1" applyFill="1" applyBorder="1" applyAlignment="1">
      <alignment horizontal="right"/>
    </xf>
    <xf numFmtId="0" fontId="20" fillId="0" borderId="0" xfId="0" applyFont="1" applyAlignment="1">
      <alignment horizontal="right"/>
    </xf>
    <xf numFmtId="0" fontId="20" fillId="3" borderId="3" xfId="0" applyFont="1" applyFill="1" applyBorder="1" applyAlignment="1">
      <alignment horizontal="right"/>
    </xf>
    <xf numFmtId="0" fontId="0" fillId="4" borderId="4" xfId="0" applyFill="1" applyBorder="1" applyAlignment="1">
      <alignment horizontal="right"/>
    </xf>
    <xf numFmtId="0" fontId="0" fillId="4" borderId="5" xfId="0" applyFill="1" applyBorder="1" applyAlignment="1">
      <alignment horizontal="right"/>
    </xf>
    <xf numFmtId="0" fontId="19" fillId="3" borderId="1" xfId="0" applyFont="1" applyFill="1" applyBorder="1" applyAlignment="1">
      <alignment horizontal="right" wrapText="1"/>
    </xf>
    <xf numFmtId="0" fontId="19" fillId="3" borderId="0" xfId="0" applyFont="1" applyFill="1" applyAlignment="1">
      <alignment horizontal="right" wrapText="1"/>
    </xf>
    <xf numFmtId="164" fontId="19" fillId="4" borderId="0" xfId="0" applyNumberFormat="1" applyFont="1" applyFill="1" applyAlignment="1">
      <alignment horizontal="right" wrapText="1"/>
    </xf>
    <xf numFmtId="0" fontId="19" fillId="4" borderId="2" xfId="0" applyFont="1" applyFill="1" applyBorder="1" applyAlignment="1">
      <alignment horizontal="right" wrapText="1"/>
    </xf>
    <xf numFmtId="164" fontId="25" fillId="3" borderId="1" xfId="0" applyNumberFormat="1" applyFont="1" applyFill="1" applyBorder="1" applyAlignment="1">
      <alignment horizontal="right"/>
    </xf>
    <xf numFmtId="164" fontId="25" fillId="3" borderId="0" xfId="0" applyNumberFormat="1" applyFont="1" applyFill="1" applyAlignment="1">
      <alignment horizontal="right"/>
    </xf>
    <xf numFmtId="0" fontId="25" fillId="3" borderId="0" xfId="0" applyFont="1" applyFill="1" applyAlignment="1">
      <alignment horizontal="right"/>
    </xf>
    <xf numFmtId="0" fontId="25" fillId="4" borderId="0" xfId="0" applyFont="1" applyFill="1" applyAlignment="1">
      <alignment horizontal="right"/>
    </xf>
    <xf numFmtId="0" fontId="25" fillId="4" borderId="2" xfId="0" applyFont="1" applyFill="1" applyBorder="1" applyAlignment="1">
      <alignment horizontal="right"/>
    </xf>
    <xf numFmtId="164" fontId="25" fillId="4" borderId="0" xfId="0" applyNumberFormat="1" applyFont="1" applyFill="1" applyAlignment="1">
      <alignment horizontal="right"/>
    </xf>
    <xf numFmtId="0" fontId="25" fillId="3" borderId="1" xfId="0" applyFont="1" applyFill="1" applyBorder="1" applyAlignment="1">
      <alignment horizontal="right"/>
    </xf>
    <xf numFmtId="0" fontId="7" fillId="0" borderId="0" xfId="0" applyFont="1"/>
    <xf numFmtId="0" fontId="20" fillId="4" borderId="9" xfId="0" applyFont="1" applyFill="1" applyBorder="1"/>
    <xf numFmtId="1" fontId="0" fillId="6" borderId="9" xfId="0" applyNumberFormat="1" applyFill="1" applyBorder="1" applyProtection="1">
      <protection locked="0"/>
    </xf>
    <xf numFmtId="4" fontId="26" fillId="4" borderId="9" xfId="0" applyNumberFormat="1" applyFont="1" applyFill="1" applyBorder="1"/>
    <xf numFmtId="2" fontId="26" fillId="4" borderId="9" xfId="0" applyNumberFormat="1" applyFont="1" applyFill="1" applyBorder="1"/>
    <xf numFmtId="0" fontId="27" fillId="4" borderId="9" xfId="0" applyFont="1" applyFill="1" applyBorder="1"/>
    <xf numFmtId="0" fontId="26" fillId="4" borderId="9" xfId="0" applyFont="1" applyFill="1" applyBorder="1"/>
    <xf numFmtId="43" fontId="0" fillId="0" borderId="0" xfId="2" applyFont="1"/>
    <xf numFmtId="165" fontId="0" fillId="0" borderId="0" xfId="2" applyNumberFormat="1" applyFont="1" applyAlignment="1">
      <alignment horizontal="right"/>
    </xf>
    <xf numFmtId="166" fontId="0" fillId="0" borderId="0" xfId="2" applyNumberFormat="1" applyFont="1" applyAlignment="1">
      <alignment horizontal="right"/>
    </xf>
    <xf numFmtId="166" fontId="0" fillId="0" borderId="0" xfId="2" applyNumberFormat="1" applyFont="1"/>
    <xf numFmtId="166" fontId="2" fillId="0" borderId="0" xfId="2" applyNumberFormat="1" applyFont="1" applyAlignment="1">
      <alignment horizontal="right"/>
    </xf>
    <xf numFmtId="165" fontId="2" fillId="0" borderId="0" xfId="2" applyNumberFormat="1" applyFont="1" applyAlignment="1">
      <alignment horizontal="right"/>
    </xf>
    <xf numFmtId="43" fontId="2" fillId="0" borderId="0" xfId="2" applyFont="1" applyAlignment="1">
      <alignment horizontal="right"/>
    </xf>
    <xf numFmtId="167" fontId="2" fillId="0" borderId="0" xfId="2" applyNumberFormat="1" applyFont="1" applyAlignment="1">
      <alignment horizontal="right"/>
    </xf>
    <xf numFmtId="0" fontId="29" fillId="4" borderId="9" xfId="0" applyFont="1" applyFill="1" applyBorder="1"/>
    <xf numFmtId="167" fontId="30" fillId="0" borderId="0" xfId="2" applyNumberFormat="1" applyFont="1" applyAlignment="1">
      <alignment horizontal="right"/>
    </xf>
    <xf numFmtId="43" fontId="23" fillId="0" borderId="0" xfId="2" applyFont="1" applyAlignment="1">
      <alignment horizontal="left"/>
    </xf>
    <xf numFmtId="43" fontId="23" fillId="0" borderId="0" xfId="2" applyFont="1"/>
    <xf numFmtId="0" fontId="1" fillId="5" borderId="1" xfId="0" applyFont="1" applyFill="1" applyBorder="1"/>
    <xf numFmtId="164" fontId="20" fillId="6" borderId="9" xfId="0" applyNumberFormat="1" applyFont="1" applyFill="1" applyBorder="1" applyProtection="1">
      <protection locked="0"/>
    </xf>
    <xf numFmtId="4" fontId="20" fillId="6" borderId="9" xfId="0" applyNumberFormat="1" applyFont="1" applyFill="1" applyBorder="1" applyProtection="1">
      <protection locked="0"/>
    </xf>
    <xf numFmtId="1" fontId="20" fillId="6" borderId="9" xfId="0" applyNumberFormat="1" applyFont="1" applyFill="1" applyBorder="1" applyProtection="1">
      <protection locked="0"/>
    </xf>
    <xf numFmtId="4" fontId="29" fillId="4" borderId="9" xfId="0" applyNumberFormat="1" applyFont="1" applyFill="1" applyBorder="1"/>
    <xf numFmtId="2" fontId="29" fillId="4" borderId="9" xfId="0" applyNumberFormat="1" applyFont="1" applyFill="1" applyBorder="1"/>
    <xf numFmtId="0" fontId="27" fillId="4" borderId="9" xfId="0" applyFont="1" applyFill="1" applyBorder="1" applyAlignment="1">
      <alignment wrapText="1"/>
    </xf>
    <xf numFmtId="0" fontId="20" fillId="3" borderId="1" xfId="0" applyFont="1" applyFill="1" applyBorder="1"/>
    <xf numFmtId="0" fontId="20" fillId="3" borderId="0" xfId="0" applyFont="1" applyFill="1"/>
    <xf numFmtId="0" fontId="20" fillId="3" borderId="1" xfId="0" applyFont="1" applyFill="1" applyBorder="1" applyAlignment="1">
      <alignment wrapText="1"/>
    </xf>
    <xf numFmtId="0" fontId="31" fillId="4" borderId="0" xfId="0" applyFont="1" applyFill="1" applyAlignment="1">
      <alignment horizontal="left"/>
    </xf>
    <xf numFmtId="2" fontId="32" fillId="4" borderId="2" xfId="0" applyNumberFormat="1" applyFont="1" applyFill="1" applyBorder="1" applyAlignment="1">
      <alignment horizontal="center"/>
    </xf>
    <xf numFmtId="0" fontId="32" fillId="4" borderId="2" xfId="0" applyFont="1" applyFill="1" applyBorder="1" applyAlignment="1">
      <alignment wrapText="1"/>
    </xf>
    <xf numFmtId="164" fontId="32" fillId="4" borderId="0" xfId="0" applyNumberFormat="1" applyFont="1" applyFill="1"/>
    <xf numFmtId="0" fontId="32" fillId="4" borderId="2" xfId="0" applyFont="1" applyFill="1" applyBorder="1"/>
    <xf numFmtId="0" fontId="32" fillId="4" borderId="0" xfId="0" applyFont="1" applyFill="1"/>
    <xf numFmtId="0" fontId="32" fillId="4" borderId="4" xfId="0" applyFont="1" applyFill="1" applyBorder="1"/>
    <xf numFmtId="0" fontId="32" fillId="4" borderId="5" xfId="0" applyFont="1" applyFill="1" applyBorder="1"/>
    <xf numFmtId="0" fontId="11" fillId="0" borderId="0" xfId="0" applyFont="1" applyAlignment="1">
      <alignment wrapText="1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Moment Envelope</a:t>
            </a:r>
          </a:p>
        </c:rich>
      </c:tx>
      <c:layout>
        <c:manualLayout>
          <c:xMode val="edge"/>
          <c:yMode val="edge"/>
          <c:x val="0.36796622161360265"/>
          <c:y val="3.374220424281827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36799785240347"/>
          <c:y val="0.2607361963190184"/>
          <c:w val="0.78355143979859943"/>
          <c:h val="0.54601226993865026"/>
        </c:manualLayout>
      </c:layout>
      <c:scatterChart>
        <c:scatterStyle val="lineMarker"/>
        <c:varyColors val="0"/>
        <c:ser>
          <c:idx val="0"/>
          <c:order val="0"/>
          <c:tx>
            <c:v>Normal Category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N642SP!$A$45:$A$49</c:f>
              <c:numCache>
                <c:formatCode>0.0</c:formatCode>
                <c:ptCount val="5"/>
                <c:pt idx="0">
                  <c:v>52</c:v>
                </c:pt>
                <c:pt idx="1">
                  <c:v>68</c:v>
                </c:pt>
                <c:pt idx="2">
                  <c:v>104.5</c:v>
                </c:pt>
                <c:pt idx="3">
                  <c:v>121</c:v>
                </c:pt>
                <c:pt idx="4">
                  <c:v>70.5</c:v>
                </c:pt>
              </c:numCache>
            </c:numRef>
          </c:xVal>
          <c:yVal>
            <c:numRef>
              <c:f>N642SP!$C$45:$C$49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2550</c:v>
                </c:pt>
                <c:pt idx="3">
                  <c:v>2550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62B-4FA3-97FD-892F6DE1C422}"/>
            </c:ext>
          </c:extLst>
        </c:ser>
        <c:ser>
          <c:idx val="1"/>
          <c:order val="1"/>
          <c:tx>
            <c:v>Utility Category</c:v>
          </c:tx>
          <c:spPr>
            <a:ln w="25400">
              <a:solidFill>
                <a:srgbClr val="008080"/>
              </a:solidFill>
              <a:prstDash val="lgDashDot"/>
            </a:ln>
          </c:spPr>
          <c:marker>
            <c:symbol val="square"/>
            <c:size val="7"/>
            <c:spPr>
              <a:noFill/>
              <a:ln w="9525">
                <a:noFill/>
              </a:ln>
            </c:spPr>
          </c:marker>
          <c:xVal>
            <c:numRef>
              <c:f>N642SP!$D$45:$D$49</c:f>
              <c:numCache>
                <c:formatCode>0.0</c:formatCode>
                <c:ptCount val="5"/>
                <c:pt idx="0">
                  <c:v>52</c:v>
                </c:pt>
                <c:pt idx="1">
                  <c:v>68</c:v>
                </c:pt>
                <c:pt idx="2" formatCode="General">
                  <c:v>83.2</c:v>
                </c:pt>
                <c:pt idx="3" formatCode="General">
                  <c:v>89</c:v>
                </c:pt>
                <c:pt idx="4" formatCode="General">
                  <c:v>60.5</c:v>
                </c:pt>
              </c:numCache>
            </c:numRef>
          </c:xVal>
          <c:yVal>
            <c:numRef>
              <c:f>N642SP!$E$45:$E$49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2200</c:v>
                </c:pt>
                <c:pt idx="3">
                  <c:v>2200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62B-4FA3-97FD-892F6DE1C422}"/>
            </c:ext>
          </c:extLst>
        </c:ser>
        <c:ser>
          <c:idx val="2"/>
          <c:order val="2"/>
          <c:tx>
            <c:v>Computed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N642SP!$F$15</c:f>
              <c:numCache>
                <c:formatCode>General</c:formatCode>
                <c:ptCount val="1"/>
                <c:pt idx="0">
                  <c:v>70.398589999999999</c:v>
                </c:pt>
              </c:numCache>
            </c:numRef>
          </c:xVal>
          <c:yVal>
            <c:numRef>
              <c:f>N642SP!$C$15</c:f>
              <c:numCache>
                <c:formatCode>#,##0.00</c:formatCode>
                <c:ptCount val="1"/>
                <c:pt idx="0">
                  <c:v>1724.27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62B-4FA3-97FD-892F6DE1C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63160"/>
        <c:axId val="1"/>
      </c:scatterChart>
      <c:valAx>
        <c:axId val="401463160"/>
        <c:scaling>
          <c:orientation val="minMax"/>
          <c:max val="130"/>
          <c:min val="5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Moment / 1000</a:t>
                </a:r>
              </a:p>
            </c:rich>
          </c:tx>
          <c:layout>
            <c:manualLayout>
              <c:xMode val="edge"/>
              <c:yMode val="edge"/>
              <c:x val="0.35497888850850168"/>
              <c:y val="0.8895705009350894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 (lbs)</a:t>
                </a:r>
              </a:p>
            </c:rich>
          </c:tx>
          <c:layout>
            <c:manualLayout>
              <c:xMode val="edge"/>
              <c:yMode val="edge"/>
              <c:x val="3.4632203583247749E-2"/>
              <c:y val="0.28527631293794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3160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22264064817985"/>
          <c:y val="0.11621148273896956"/>
          <c:w val="0.75872007303434896"/>
          <c:h val="6.728053488726754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Limits</a:t>
            </a:r>
          </a:p>
        </c:rich>
      </c:tx>
      <c:layout>
        <c:manualLayout>
          <c:xMode val="edge"/>
          <c:yMode val="edge"/>
          <c:x val="0.4349601987636556"/>
          <c:y val="3.36391993553997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30922952638608"/>
          <c:y val="0.26605584042861369"/>
          <c:w val="0.81097721945109935"/>
          <c:h val="0.54128602018235195"/>
        </c:manualLayout>
      </c:layout>
      <c:scatterChart>
        <c:scatterStyle val="lineMarker"/>
        <c:varyColors val="0"/>
        <c:ser>
          <c:idx val="0"/>
          <c:order val="0"/>
          <c:tx>
            <c:v>Normal Category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N642SP!$G$45:$G$49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41</c:v>
                </c:pt>
                <c:pt idx="3">
                  <c:v>47.3</c:v>
                </c:pt>
                <c:pt idx="4">
                  <c:v>47.3</c:v>
                </c:pt>
              </c:numCache>
            </c:numRef>
          </c:xVal>
          <c:yVal>
            <c:numRef>
              <c:f>N642SP!$I$45:$I$49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2550</c:v>
                </c:pt>
                <c:pt idx="3">
                  <c:v>2550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FAA-44AA-BD0A-DCB4A9D3A28E}"/>
            </c:ext>
          </c:extLst>
        </c:ser>
        <c:ser>
          <c:idx val="1"/>
          <c:order val="1"/>
          <c:tx>
            <c:v>Utility Category</c:v>
          </c:tx>
          <c:spPr>
            <a:ln w="25400">
              <a:solidFill>
                <a:srgbClr val="008080"/>
              </a:solidFill>
              <a:prstDash val="lgDashDot"/>
            </a:ln>
          </c:spPr>
          <c:marker>
            <c:symbol val="none"/>
          </c:marker>
          <c:xVal>
            <c:numRef>
              <c:f>N642SP!$J$45:$J$49</c:f>
              <c:numCache>
                <c:formatCode>General</c:formatCode>
                <c:ptCount val="5"/>
                <c:pt idx="0">
                  <c:v>35</c:v>
                </c:pt>
                <c:pt idx="1">
                  <c:v>35</c:v>
                </c:pt>
                <c:pt idx="2">
                  <c:v>37.5</c:v>
                </c:pt>
                <c:pt idx="3">
                  <c:v>40.5</c:v>
                </c:pt>
                <c:pt idx="4">
                  <c:v>40.5</c:v>
                </c:pt>
              </c:numCache>
            </c:numRef>
          </c:xVal>
          <c:yVal>
            <c:numRef>
              <c:f>N642SP!$K$45:$K$49</c:f>
              <c:numCache>
                <c:formatCode>General</c:formatCode>
                <c:ptCount val="5"/>
                <c:pt idx="0">
                  <c:v>1500</c:v>
                </c:pt>
                <c:pt idx="1">
                  <c:v>1950</c:v>
                </c:pt>
                <c:pt idx="2">
                  <c:v>2200</c:v>
                </c:pt>
                <c:pt idx="3">
                  <c:v>2200</c:v>
                </c:pt>
                <c:pt idx="4">
                  <c:v>1500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FAA-44AA-BD0A-DCB4A9D3A28E}"/>
            </c:ext>
          </c:extLst>
        </c:ser>
        <c:ser>
          <c:idx val="2"/>
          <c:order val="2"/>
          <c:tx>
            <c:v>Computed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N642SP!$D$15</c:f>
              <c:numCache>
                <c:formatCode>0.00</c:formatCode>
                <c:ptCount val="1"/>
                <c:pt idx="0">
                  <c:v>40.828054771004538</c:v>
                </c:pt>
              </c:numCache>
            </c:numRef>
          </c:xVal>
          <c:yVal>
            <c:numRef>
              <c:f>N642SP!$C$15</c:f>
              <c:numCache>
                <c:formatCode>#,##0.00</c:formatCode>
                <c:ptCount val="1"/>
                <c:pt idx="0">
                  <c:v>1724.27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FAA-44AA-BD0A-DCB4A9D3A2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65784"/>
        <c:axId val="1"/>
      </c:scatterChart>
      <c:valAx>
        <c:axId val="401465784"/>
        <c:scaling>
          <c:orientation val="minMax"/>
          <c:max val="49"/>
          <c:min val="34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Airplane CG Location - Inches aft of datum</a:t>
                </a:r>
              </a:p>
            </c:rich>
          </c:tx>
          <c:layout>
            <c:manualLayout>
              <c:xMode val="edge"/>
              <c:yMode val="edge"/>
              <c:x val="0.31097630250017516"/>
              <c:y val="0.889910888798474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2600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Weight(lbs)</a:t>
                </a:r>
              </a:p>
            </c:rich>
          </c:tx>
          <c:layout>
            <c:manualLayout>
              <c:xMode val="edge"/>
              <c:yMode val="edge"/>
              <c:x val="3.2520277881075955E-2"/>
              <c:y val="0.2905207061883222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578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507790478962206"/>
          <c:y val="0.11854486274322093"/>
          <c:w val="0.71665486372724962"/>
          <c:h val="6.6871534675186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Limits</a:t>
            </a:r>
          </a:p>
        </c:rich>
      </c:tx>
      <c:layout>
        <c:manualLayout>
          <c:xMode val="edge"/>
          <c:yMode val="edge"/>
          <c:x val="0.36681226575073178"/>
          <c:y val="3.374252530360310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2183406113537"/>
          <c:y val="0.2607361963190184"/>
          <c:w val="0.78165938864628826"/>
          <c:h val="0.54601226993865026"/>
        </c:manualLayout>
      </c:layout>
      <c:scatterChart>
        <c:scatterStyle val="lineMarker"/>
        <c:varyColors val="0"/>
        <c:ser>
          <c:idx val="0"/>
          <c:order val="0"/>
          <c:tx>
            <c:v>T/O and Land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N2915M!$A$46:$A$51</c:f>
              <c:numCache>
                <c:formatCode>General</c:formatCode>
                <c:ptCount val="6"/>
                <c:pt idx="0">
                  <c:v>79.8</c:v>
                </c:pt>
                <c:pt idx="1">
                  <c:v>79.8</c:v>
                </c:pt>
                <c:pt idx="2">
                  <c:v>82.7</c:v>
                </c:pt>
                <c:pt idx="3">
                  <c:v>88.5</c:v>
                </c:pt>
                <c:pt idx="4">
                  <c:v>92</c:v>
                </c:pt>
                <c:pt idx="5">
                  <c:v>92</c:v>
                </c:pt>
              </c:numCache>
            </c:numRef>
          </c:xVal>
          <c:yVal>
            <c:numRef>
              <c:f>N2915M!$C$46:$C$51</c:f>
              <c:numCache>
                <c:formatCode>General</c:formatCode>
                <c:ptCount val="6"/>
                <c:pt idx="0">
                  <c:v>1700</c:v>
                </c:pt>
                <c:pt idx="1">
                  <c:v>1890</c:v>
                </c:pt>
                <c:pt idx="2">
                  <c:v>2500</c:v>
                </c:pt>
                <c:pt idx="3">
                  <c:v>3000</c:v>
                </c:pt>
                <c:pt idx="4">
                  <c:v>3000</c:v>
                </c:pt>
                <c:pt idx="5">
                  <c:v>1700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16B-43CC-947B-1F2AAA86AB39}"/>
            </c:ext>
          </c:extLst>
        </c:ser>
        <c:ser>
          <c:idx val="2"/>
          <c:order val="1"/>
          <c:tx>
            <c:v>Computed</c:v>
          </c:tx>
          <c:spPr>
            <a:ln w="12700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916B-43CC-947B-1F2AAA86AB39}"/>
              </c:ext>
            </c:extLst>
          </c:dPt>
          <c:xVal>
            <c:numRef>
              <c:f>(N2915M!$D$15,N2915M!$D$17)</c:f>
              <c:numCache>
                <c:formatCode>0.00</c:formatCode>
                <c:ptCount val="2"/>
                <c:pt idx="0">
                  <c:v>90.514970985373253</c:v>
                </c:pt>
                <c:pt idx="1">
                  <c:v>90.418409381234667</c:v>
                </c:pt>
              </c:numCache>
            </c:numRef>
          </c:xVal>
          <c:yVal>
            <c:numRef>
              <c:f>(N2915M!$C$15,N2915M!$C$17)</c:f>
              <c:numCache>
                <c:formatCode>#,##0.00</c:formatCode>
                <c:ptCount val="2"/>
                <c:pt idx="0">
                  <c:v>2846.84</c:v>
                </c:pt>
                <c:pt idx="1">
                  <c:v>2786.84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16B-43CC-947B-1F2AAA86AB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1469720"/>
        <c:axId val="1"/>
      </c:scatterChart>
      <c:valAx>
        <c:axId val="401469720"/>
        <c:scaling>
          <c:orientation val="minMax"/>
          <c:max val="93"/>
          <c:min val="79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Airplane CG Location - Inches aft of datum</a:t>
                </a:r>
              </a:p>
            </c:rich>
          </c:tx>
          <c:layout>
            <c:manualLayout>
              <c:xMode val="edge"/>
              <c:yMode val="edge"/>
              <c:x val="0.35371158852057077"/>
              <c:y val="0.889570500935089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  <c:minorUnit val="0.5"/>
      </c:valAx>
      <c:valAx>
        <c:axId val="1"/>
        <c:scaling>
          <c:orientation val="minMax"/>
          <c:max val="3100"/>
          <c:min val="1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 (lbs)</a:t>
                </a:r>
              </a:p>
            </c:rich>
          </c:tx>
          <c:layout>
            <c:manualLayout>
              <c:xMode val="edge"/>
              <c:yMode val="edge"/>
              <c:x val="3.4934491213289696E-2"/>
              <c:y val="0.285276312937946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01469720"/>
        <c:crosses val="autoZero"/>
        <c:crossBetween val="midCat"/>
        <c:majorUnit val="100"/>
        <c:minorUnit val="5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1"/>
        <c:delete val="1"/>
      </c:legendEntry>
      <c:layout>
        <c:manualLayout>
          <c:xMode val="edge"/>
          <c:yMode val="edge"/>
          <c:x val="0.23587332447641576"/>
          <c:y val="0.16310241036384213"/>
          <c:w val="0.59378654828640254"/>
          <c:h val="7.633605432348480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Moment Envelope</a:t>
            </a:r>
          </a:p>
        </c:rich>
      </c:tx>
      <c:layout>
        <c:manualLayout>
          <c:xMode val="edge"/>
          <c:yMode val="edge"/>
          <c:x val="0.366812103032575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502183406113537"/>
          <c:y val="0.2607361963190184"/>
          <c:w val="0.78165938864628826"/>
          <c:h val="0.54601226993865026"/>
        </c:manualLayout>
      </c:layout>
      <c:scatterChart>
        <c:scatterStyle val="lineMarker"/>
        <c:varyColors val="0"/>
        <c:ser>
          <c:idx val="0"/>
          <c:order val="0"/>
          <c:tx>
            <c:v>T/O and Land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N9758H!$A$49:$A$53</c:f>
              <c:numCache>
                <c:formatCode>0.0</c:formatCode>
                <c:ptCount val="5"/>
                <c:pt idx="0">
                  <c:v>59</c:v>
                </c:pt>
                <c:pt idx="1">
                  <c:v>74</c:v>
                </c:pt>
                <c:pt idx="2">
                  <c:v>116.5</c:v>
                </c:pt>
                <c:pt idx="3">
                  <c:v>136</c:v>
                </c:pt>
                <c:pt idx="4">
                  <c:v>82.5</c:v>
                </c:pt>
              </c:numCache>
            </c:numRef>
          </c:xVal>
          <c:yVal>
            <c:numRef>
              <c:f>N9758H!$C$49:$C$53</c:f>
              <c:numCache>
                <c:formatCode>General</c:formatCode>
                <c:ptCount val="5"/>
                <c:pt idx="0">
                  <c:v>1800</c:v>
                </c:pt>
                <c:pt idx="1">
                  <c:v>2260</c:v>
                </c:pt>
                <c:pt idx="2">
                  <c:v>2950</c:v>
                </c:pt>
                <c:pt idx="3">
                  <c:v>2950</c:v>
                </c:pt>
                <c:pt idx="4">
                  <c:v>1800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AFE-4565-8252-8CE2CACAD522}"/>
            </c:ext>
          </c:extLst>
        </c:ser>
        <c:ser>
          <c:idx val="1"/>
          <c:order val="1"/>
          <c:tx>
            <c:v>T/O Only</c:v>
          </c:tx>
          <c:spPr>
            <a:ln w="25400">
              <a:solidFill>
                <a:srgbClr val="0000FF"/>
              </a:solidFill>
              <a:prstDash val="sysDot"/>
            </a:ln>
          </c:spPr>
          <c:marker>
            <c:symbol val="none"/>
          </c:marker>
          <c:xVal>
            <c:numRef>
              <c:f>N9758H!$D$49:$D$53</c:f>
              <c:numCache>
                <c:formatCode>0.0</c:formatCode>
                <c:ptCount val="5"/>
                <c:pt idx="1">
                  <c:v>116.5</c:v>
                </c:pt>
                <c:pt idx="2">
                  <c:v>127</c:v>
                </c:pt>
                <c:pt idx="3" formatCode="General">
                  <c:v>142.5</c:v>
                </c:pt>
                <c:pt idx="4">
                  <c:v>136</c:v>
                </c:pt>
              </c:numCache>
            </c:numRef>
          </c:xVal>
          <c:yVal>
            <c:numRef>
              <c:f>N9758H!$E$49:$E$53</c:f>
              <c:numCache>
                <c:formatCode>General</c:formatCode>
                <c:ptCount val="5"/>
                <c:pt idx="1">
                  <c:v>2950</c:v>
                </c:pt>
                <c:pt idx="2">
                  <c:v>3100</c:v>
                </c:pt>
                <c:pt idx="3">
                  <c:v>3100</c:v>
                </c:pt>
                <c:pt idx="4">
                  <c:v>2950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AFE-4565-8252-8CE2CACAD522}"/>
            </c:ext>
          </c:extLst>
        </c:ser>
        <c:ser>
          <c:idx val="2"/>
          <c:order val="2"/>
          <c:tx>
            <c:v>Computed</c:v>
          </c:tx>
          <c:spPr>
            <a:ln w="12700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6AFE-4565-8252-8CE2CACAD522}"/>
              </c:ext>
            </c:extLst>
          </c:dPt>
          <c:xVal>
            <c:numRef>
              <c:f>(N9758H!$F$17,N9758H!$F$19)</c:f>
              <c:numCache>
                <c:formatCode>General</c:formatCode>
                <c:ptCount val="2"/>
                <c:pt idx="0">
                  <c:v>112.02663000000001</c:v>
                </c:pt>
                <c:pt idx="1">
                  <c:v>107.84163000000001</c:v>
                </c:pt>
              </c:numCache>
            </c:numRef>
          </c:xVal>
          <c:yVal>
            <c:numRef>
              <c:f>(N9758H!$C$17,N9758H!$C$19)</c:f>
              <c:numCache>
                <c:formatCode>#,##0.00</c:formatCode>
                <c:ptCount val="2"/>
                <c:pt idx="0">
                  <c:v>2692.0299999999997</c:v>
                </c:pt>
                <c:pt idx="1">
                  <c:v>2602.0299999999997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AFE-4565-8252-8CE2CACAD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785488"/>
        <c:axId val="1"/>
      </c:scatterChart>
      <c:valAx>
        <c:axId val="469785488"/>
        <c:scaling>
          <c:orientation val="minMax"/>
          <c:max val="150"/>
          <c:min val="55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Moment / 1000</a:t>
                </a:r>
              </a:p>
            </c:rich>
          </c:tx>
          <c:layout>
            <c:manualLayout>
              <c:xMode val="edge"/>
              <c:yMode val="edge"/>
              <c:x val="0.35371169512901796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200"/>
          <c:min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 (lbs)</a:t>
                </a:r>
              </a:p>
            </c:rich>
          </c:tx>
          <c:layout>
            <c:manualLayout>
              <c:xMode val="edge"/>
              <c:yMode val="edge"/>
              <c:x val="3.4934496824260607E-2"/>
              <c:y val="0.285276073619631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785488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16956335003579098"/>
          <c:y val="0.1232156256541552"/>
          <c:w val="0.73868698230902963"/>
          <c:h val="8.517012060608988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CG Limits</a:t>
            </a:r>
          </a:p>
        </c:rich>
      </c:tx>
      <c:layout>
        <c:manualLayout>
          <c:xMode val="edge"/>
          <c:yMode val="edge"/>
          <c:x val="0.43584521384928715"/>
          <c:y val="3.37423312883435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0285132382891"/>
          <c:y val="0.26687116564417179"/>
          <c:w val="0.81059063136456211"/>
          <c:h val="0.53987730061349692"/>
        </c:manualLayout>
      </c:layout>
      <c:scatterChart>
        <c:scatterStyle val="lineMarker"/>
        <c:varyColors val="0"/>
        <c:ser>
          <c:idx val="0"/>
          <c:order val="0"/>
          <c:tx>
            <c:v>T/O and Land</c:v>
          </c:tx>
          <c:spPr>
            <a:ln w="25400">
              <a:solidFill>
                <a:srgbClr val="0000FF"/>
              </a:solidFill>
              <a:prstDash val="solid"/>
            </a:ln>
          </c:spPr>
          <c:marker>
            <c:symbol val="diamond"/>
            <c:size val="7"/>
            <c:spPr>
              <a:noFill/>
              <a:ln w="9525">
                <a:noFill/>
              </a:ln>
            </c:spPr>
          </c:marker>
          <c:xVal>
            <c:numRef>
              <c:f>N9758H!$G$49:$G$53</c:f>
              <c:numCache>
                <c:formatCode>General</c:formatCode>
                <c:ptCount val="5"/>
                <c:pt idx="0">
                  <c:v>33</c:v>
                </c:pt>
                <c:pt idx="1">
                  <c:v>33</c:v>
                </c:pt>
                <c:pt idx="2">
                  <c:v>39.5</c:v>
                </c:pt>
                <c:pt idx="3">
                  <c:v>46</c:v>
                </c:pt>
                <c:pt idx="4">
                  <c:v>46</c:v>
                </c:pt>
              </c:numCache>
            </c:numRef>
          </c:xVal>
          <c:yVal>
            <c:numRef>
              <c:f>N9758H!$I$49:$I$53</c:f>
              <c:numCache>
                <c:formatCode>General</c:formatCode>
                <c:ptCount val="5"/>
                <c:pt idx="0">
                  <c:v>1800</c:v>
                </c:pt>
                <c:pt idx="1">
                  <c:v>2250</c:v>
                </c:pt>
                <c:pt idx="2">
                  <c:v>2950</c:v>
                </c:pt>
                <c:pt idx="3">
                  <c:v>2950</c:v>
                </c:pt>
                <c:pt idx="4">
                  <c:v>1800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D6CF-4661-998B-3D90629581E1}"/>
            </c:ext>
          </c:extLst>
        </c:ser>
        <c:ser>
          <c:idx val="1"/>
          <c:order val="1"/>
          <c:tx>
            <c:v>T/O Only</c:v>
          </c:tx>
          <c:spPr>
            <a:ln w="25400">
              <a:solidFill>
                <a:srgbClr val="0000FF"/>
              </a:solidFill>
              <a:prstDash val="sysDot"/>
            </a:ln>
          </c:spPr>
          <c:marker>
            <c:symbol val="none"/>
          </c:marker>
          <c:xVal>
            <c:numRef>
              <c:f>N9758H!$J$50:$J$53</c:f>
              <c:numCache>
                <c:formatCode>General</c:formatCode>
                <c:ptCount val="4"/>
                <c:pt idx="0">
                  <c:v>39.5</c:v>
                </c:pt>
                <c:pt idx="1">
                  <c:v>40.9</c:v>
                </c:pt>
                <c:pt idx="2">
                  <c:v>46</c:v>
                </c:pt>
                <c:pt idx="3">
                  <c:v>46</c:v>
                </c:pt>
              </c:numCache>
            </c:numRef>
          </c:xVal>
          <c:yVal>
            <c:numRef>
              <c:f>N9758H!$K$50:$K$53</c:f>
              <c:numCache>
                <c:formatCode>General</c:formatCode>
                <c:ptCount val="4"/>
                <c:pt idx="0">
                  <c:v>2950</c:v>
                </c:pt>
                <c:pt idx="1">
                  <c:v>3100</c:v>
                </c:pt>
                <c:pt idx="2">
                  <c:v>3100</c:v>
                </c:pt>
                <c:pt idx="3">
                  <c:v>2950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D6CF-4661-998B-3D90629581E1}"/>
            </c:ext>
          </c:extLst>
        </c:ser>
        <c:ser>
          <c:idx val="2"/>
          <c:order val="2"/>
          <c:tx>
            <c:v>Computed</c:v>
          </c:tx>
          <c:spPr>
            <a:ln w="12700">
              <a:solidFill>
                <a:srgbClr val="00B05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dPt>
            <c:idx val="0"/>
            <c:marker>
              <c:spPr>
                <a:solidFill>
                  <a:srgbClr val="00B050"/>
                </a:solidFill>
                <a:ln>
                  <a:solidFill>
                    <a:srgbClr val="00B050"/>
                  </a:solidFill>
                  <a:prstDash val="solid"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D6CF-4661-998B-3D90629581E1}"/>
              </c:ext>
            </c:extLst>
          </c:dPt>
          <c:xVal>
            <c:numRef>
              <c:f>(N9758H!$D$17,N9758H!$D$19)</c:f>
              <c:numCache>
                <c:formatCode>0.00</c:formatCode>
                <c:ptCount val="2"/>
                <c:pt idx="0">
                  <c:v>41.614183348625396</c:v>
                </c:pt>
                <c:pt idx="1">
                  <c:v>41.445190870205195</c:v>
                </c:pt>
              </c:numCache>
            </c:numRef>
          </c:xVal>
          <c:yVal>
            <c:numRef>
              <c:f>(N9758H!$C$17,N9758H!$C$19)</c:f>
              <c:numCache>
                <c:formatCode>#,##0.00</c:formatCode>
                <c:ptCount val="2"/>
                <c:pt idx="0">
                  <c:v>2692.0299999999997</c:v>
                </c:pt>
                <c:pt idx="1">
                  <c:v>2602.0299999999997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D6CF-4661-998B-3D9062958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69783192"/>
        <c:axId val="1"/>
      </c:scatterChart>
      <c:valAx>
        <c:axId val="469783192"/>
        <c:scaling>
          <c:orientation val="minMax"/>
          <c:max val="48"/>
          <c:min val="32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Airplane CG Location - Inches aft of datum</a:t>
                </a:r>
              </a:p>
            </c:rich>
          </c:tx>
          <c:layout>
            <c:manualLayout>
              <c:xMode val="edge"/>
              <c:yMode val="edge"/>
              <c:x val="0.31160896130346233"/>
              <c:y val="0.889570552147239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3200"/>
          <c:min val="18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00000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Loaded Airplane Weight(lbs)</a:t>
                </a:r>
              </a:p>
            </c:rich>
          </c:tx>
          <c:layout>
            <c:manualLayout>
              <c:xMode val="edge"/>
              <c:yMode val="edge"/>
              <c:x val="3.2586558044806514E-2"/>
              <c:y val="0.2914110429447852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69783192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24651346280289305"/>
          <c:y val="0.14136482939632544"/>
          <c:w val="0.61588894056267396"/>
          <c:h val="8.934544224916671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blueskyaa.com/" TargetMode="External"/><Relationship Id="rId7" Type="http://schemas.openxmlformats.org/officeDocument/2006/relationships/image" Target="../media/image3.png"/><Relationship Id="rId2" Type="http://schemas.openxmlformats.org/officeDocument/2006/relationships/image" Target="../media/image1.emf"/><Relationship Id="rId1" Type="http://schemas.openxmlformats.org/officeDocument/2006/relationships/hyperlink" Target="#N642SP!C9"/><Relationship Id="rId6" Type="http://schemas.openxmlformats.org/officeDocument/2006/relationships/hyperlink" Target="#N2915M!A1"/><Relationship Id="rId5" Type="http://schemas.openxmlformats.org/officeDocument/2006/relationships/image" Target="../media/image2.png"/><Relationship Id="rId4" Type="http://schemas.openxmlformats.org/officeDocument/2006/relationships/hyperlink" Target="#N9758H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u!C12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1.emf"/><Relationship Id="rId4" Type="http://schemas.openxmlformats.org/officeDocument/2006/relationships/hyperlink" Target="http://www.blueskyaa.com/aircraft/skyhawk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hyperlink" Target="#Menu!C12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Menu!C12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2.png"/><Relationship Id="rId4" Type="http://schemas.openxmlformats.org/officeDocument/2006/relationships/hyperlink" Target="http://www.blueskyaa.com/n9758h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384175</xdr:colOff>
      <xdr:row>16</xdr:row>
      <xdr:rowOff>92075</xdr:rowOff>
    </xdr:from>
    <xdr:to>
      <xdr:col>0</xdr:col>
      <xdr:colOff>6756180</xdr:colOff>
      <xdr:row>28</xdr:row>
      <xdr:rowOff>3221</xdr:rowOff>
    </xdr:to>
    <xdr:sp macro="" textlink="">
      <xdr:nvSpPr>
        <xdr:cNvPr id="4112" name="Text Box 16">
          <a:extLst>
            <a:ext uri="{FF2B5EF4-FFF2-40B4-BE49-F238E27FC236}">
              <a16:creationId xmlns:a16="http://schemas.microsoft.com/office/drawing/2014/main" id="{C050A7C3-55D6-4FDB-BDDC-D1EA2CECD59D}"/>
            </a:ext>
          </a:extLst>
        </xdr:cNvPr>
        <xdr:cNvSpPr txBox="1">
          <a:spLocks noChangeArrowheads="1"/>
        </xdr:cNvSpPr>
      </xdr:nvSpPr>
      <xdr:spPr bwMode="auto">
        <a:xfrm>
          <a:off x="390525" y="3181350"/>
          <a:ext cx="6381750" cy="2171700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en-US" sz="1200" b="1" i="0" u="sng" strike="noStrike" baseline="0">
              <a:solidFill>
                <a:srgbClr val="000000"/>
              </a:solidFill>
              <a:latin typeface="Arial"/>
              <a:cs typeface="Arial"/>
            </a:rPr>
            <a:t>Instructions:</a:t>
          </a: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1) Click on a plane above to select it (or click the appropriate tab at the bottom).</a:t>
          </a:r>
          <a:b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2) Enter data only in                       :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Front Passenger Weight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Rear Passenger Weight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Baggage Area Weight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Number of usable fuel gallons (weight will be calculated)</a:t>
          </a:r>
          <a:b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3) Look for red W&amp;B error messages.</a:t>
          </a:r>
          <a:b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</a:br>
          <a:endParaRPr lang="en-US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4) Review the C.G. Charts at the bottom.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Your flight appears as a diamond.</a:t>
          </a:r>
        </a:p>
        <a:p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     * Ensure that it falls within the normal category limit.</a:t>
          </a:r>
        </a:p>
      </xdr:txBody>
    </xdr:sp>
    <xdr:clientData/>
  </xdr:twoCellAnchor>
  <xdr:twoCellAnchor>
    <xdr:from>
      <xdr:col>0</xdr:col>
      <xdr:colOff>1600200</xdr:colOff>
      <xdr:row>19</xdr:row>
      <xdr:rowOff>19050</xdr:rowOff>
    </xdr:from>
    <xdr:to>
      <xdr:col>0</xdr:col>
      <xdr:colOff>2367297</xdr:colOff>
      <xdr:row>19</xdr:row>
      <xdr:rowOff>180913</xdr:rowOff>
    </xdr:to>
    <xdr:sp macro="" textlink="">
      <xdr:nvSpPr>
        <xdr:cNvPr id="4113" name="Rectangle 17">
          <a:extLst>
            <a:ext uri="{FF2B5EF4-FFF2-40B4-BE49-F238E27FC236}">
              <a16:creationId xmlns:a16="http://schemas.microsoft.com/office/drawing/2014/main" id="{E9942B1F-B801-436A-8FDE-45651D7E4ED8}"/>
            </a:ext>
          </a:extLst>
        </xdr:cNvPr>
        <xdr:cNvSpPr>
          <a:spLocks noChangeArrowheads="1"/>
        </xdr:cNvSpPr>
      </xdr:nvSpPr>
      <xdr:spPr bwMode="auto">
        <a:xfrm>
          <a:off x="1600200" y="3676650"/>
          <a:ext cx="781050" cy="1524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ctr" anchorCtr="0" upright="1"/>
        <a:lstStyle/>
        <a:p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white boxes</a:t>
          </a:r>
        </a:p>
      </xdr:txBody>
    </xdr:sp>
    <xdr:clientData/>
  </xdr:twoCellAnchor>
  <xdr:twoCellAnchor>
    <xdr:from>
      <xdr:col>0</xdr:col>
      <xdr:colOff>333375</xdr:colOff>
      <xdr:row>4</xdr:row>
      <xdr:rowOff>133350</xdr:rowOff>
    </xdr:from>
    <xdr:to>
      <xdr:col>0</xdr:col>
      <xdr:colOff>2352675</xdr:colOff>
      <xdr:row>12</xdr:row>
      <xdr:rowOff>133350</xdr:rowOff>
    </xdr:to>
    <xdr:grpSp>
      <xdr:nvGrpSpPr>
        <xdr:cNvPr id="328639" name="Group 2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81BD10-3C4E-4289-968A-94DA9762DE8A}"/>
            </a:ext>
          </a:extLst>
        </xdr:cNvPr>
        <xdr:cNvGrpSpPr>
          <a:grpSpLocks/>
        </xdr:cNvGrpSpPr>
      </xdr:nvGrpSpPr>
      <xdr:grpSpPr bwMode="auto">
        <a:xfrm>
          <a:off x="333375" y="1171575"/>
          <a:ext cx="2019300" cy="1295400"/>
          <a:chOff x="25" y="123"/>
          <a:chExt cx="212" cy="136"/>
        </a:xfrm>
      </xdr:grpSpPr>
      <xdr:sp macro="" textlink="">
        <xdr:nvSpPr>
          <xdr:cNvPr id="328650" name="Rectangle 10">
            <a:extLst>
              <a:ext uri="{FF2B5EF4-FFF2-40B4-BE49-F238E27FC236}">
                <a16:creationId xmlns:a16="http://schemas.microsoft.com/office/drawing/2014/main" id="{DD9858FF-EFBD-4AE6-8CBD-5F6654A8D169}"/>
              </a:ext>
            </a:extLst>
          </xdr:cNvPr>
          <xdr:cNvSpPr>
            <a:spLocks noChangeArrowheads="1"/>
          </xdr:cNvSpPr>
        </xdr:nvSpPr>
        <xdr:spPr bwMode="auto">
          <a:xfrm>
            <a:off x="25" y="123"/>
            <a:ext cx="212" cy="1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>
                <a:alpha val="50000"/>
              </a:srgbClr>
            </a:outerShdw>
          </a:effectLst>
        </xdr:spPr>
      </xdr:sp>
      <xdr:sp macro="" textlink="">
        <xdr:nvSpPr>
          <xdr:cNvPr id="4098" name="Text Box 2">
            <a:extLst>
              <a:ext uri="{FF2B5EF4-FFF2-40B4-BE49-F238E27FC236}">
                <a16:creationId xmlns:a16="http://schemas.microsoft.com/office/drawing/2014/main" id="{43584192-5D63-4586-8BDE-CF0EE9ECA0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37" y="221"/>
            <a:ext cx="183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Skyhawk N642SP</a:t>
            </a:r>
          </a:p>
        </xdr:txBody>
      </xdr:sp>
      <xdr:pic>
        <xdr:nvPicPr>
          <xdr:cNvPr id="328652" name="Picture 20">
            <a:extLst>
              <a:ext uri="{FF2B5EF4-FFF2-40B4-BE49-F238E27FC236}">
                <a16:creationId xmlns:a16="http://schemas.microsoft.com/office/drawing/2014/main" id="{7A6F344C-291E-415C-B8BD-8272667A630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4" y="140"/>
            <a:ext cx="182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1</xdr:col>
      <xdr:colOff>196850</xdr:colOff>
      <xdr:row>16</xdr:row>
      <xdr:rowOff>0</xdr:rowOff>
    </xdr:from>
    <xdr:to>
      <xdr:col>4</xdr:col>
      <xdr:colOff>282526</xdr:colOff>
      <xdr:row>26</xdr:row>
      <xdr:rowOff>76200</xdr:rowOff>
    </xdr:to>
    <xdr:sp macro="" textlink="">
      <xdr:nvSpPr>
        <xdr:cNvPr id="4121" name="Text Box 25">
          <a:extLst>
            <a:ext uri="{FF2B5EF4-FFF2-40B4-BE49-F238E27FC236}">
              <a16:creationId xmlns:a16="http://schemas.microsoft.com/office/drawing/2014/main" id="{A080C44B-9666-4445-9158-6FFDF552A85A}"/>
            </a:ext>
          </a:extLst>
        </xdr:cNvPr>
        <xdr:cNvSpPr txBox="1">
          <a:spLocks noChangeArrowheads="1"/>
        </xdr:cNvSpPr>
      </xdr:nvSpPr>
      <xdr:spPr bwMode="auto">
        <a:xfrm>
          <a:off x="6972300" y="3038475"/>
          <a:ext cx="1924050" cy="1990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36576" tIns="27432" rIns="36576" bIns="0" anchor="t" upright="1"/>
        <a:lstStyle/>
        <a:p>
          <a:pPr algn="ctr" rtl="0">
            <a:defRPr sz="1000"/>
          </a:pPr>
          <a:r>
            <a:rPr lang="en-US" sz="1200" b="1" i="0" u="sng" strike="noStrike" baseline="0">
              <a:solidFill>
                <a:srgbClr val="FF0000"/>
              </a:solidFill>
              <a:latin typeface="Arial"/>
              <a:cs typeface="Arial"/>
            </a:rPr>
            <a:t>IMPORTANT:</a:t>
          </a: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Weight and balance data is the responsibility of the Pilot In Command.  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FF0000"/>
              </a:solidFill>
              <a:latin typeface="Arial"/>
              <a:cs typeface="Arial"/>
            </a:rPr>
            <a:t>This spreadsheet should not be relied upon for accuracy until you have personally confirmed that all data is consistent with the most current data in the respective airplane.</a:t>
          </a:r>
        </a:p>
        <a:p>
          <a:pPr algn="ctr" rtl="0">
            <a:defRPr sz="1000"/>
          </a:pPr>
          <a:endParaRPr lang="en-US" sz="1000" b="1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6086475</xdr:colOff>
      <xdr:row>1</xdr:row>
      <xdr:rowOff>60325</xdr:rowOff>
    </xdr:from>
    <xdr:to>
      <xdr:col>7</xdr:col>
      <xdr:colOff>193652</xdr:colOff>
      <xdr:row>2</xdr:row>
      <xdr:rowOff>181180</xdr:rowOff>
    </xdr:to>
    <xdr:sp macro="" textlink="">
      <xdr:nvSpPr>
        <xdr:cNvPr id="4123" name="Text Box 2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4EA52B6B-7EB4-4E61-A78E-E16EE37B9F27}"/>
            </a:ext>
          </a:extLst>
        </xdr:cNvPr>
        <xdr:cNvSpPr txBox="1">
          <a:spLocks noChangeArrowheads="1"/>
        </xdr:cNvSpPr>
      </xdr:nvSpPr>
      <xdr:spPr bwMode="auto">
        <a:xfrm>
          <a:off x="6105525" y="361950"/>
          <a:ext cx="4533900" cy="390525"/>
        </a:xfrm>
        <a:prstGeom prst="rect">
          <a:avLst/>
        </a:prstGeom>
        <a:solidFill>
          <a:srgbClr val="000080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ctr" anchorCtr="0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FFFF00"/>
              </a:solidFill>
              <a:latin typeface="Arial"/>
              <a:cs typeface="Arial"/>
            </a:rPr>
            <a:t>Check www.blueskyaa.com for updates to this spreadsheet</a:t>
          </a:r>
        </a:p>
      </xdr:txBody>
    </xdr:sp>
    <xdr:clientData/>
  </xdr:twoCellAnchor>
  <xdr:twoCellAnchor>
    <xdr:from>
      <xdr:col>0</xdr:col>
      <xdr:colOff>4743450</xdr:colOff>
      <xdr:row>4</xdr:row>
      <xdr:rowOff>133350</xdr:rowOff>
    </xdr:from>
    <xdr:to>
      <xdr:col>1</xdr:col>
      <xdr:colOff>0</xdr:colOff>
      <xdr:row>13</xdr:row>
      <xdr:rowOff>0</xdr:rowOff>
    </xdr:to>
    <xdr:grpSp>
      <xdr:nvGrpSpPr>
        <xdr:cNvPr id="328643" name="Group 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FEAF932F-F463-4AEE-9CD0-C794AF597748}"/>
            </a:ext>
          </a:extLst>
        </xdr:cNvPr>
        <xdr:cNvGrpSpPr>
          <a:grpSpLocks/>
        </xdr:cNvGrpSpPr>
      </xdr:nvGrpSpPr>
      <xdr:grpSpPr bwMode="auto">
        <a:xfrm>
          <a:off x="4743450" y="1171575"/>
          <a:ext cx="2019300" cy="1323975"/>
          <a:chOff x="4752975" y="1162050"/>
          <a:chExt cx="2019300" cy="1323975"/>
        </a:xfrm>
      </xdr:grpSpPr>
      <xdr:sp macro="" textlink="">
        <xdr:nvSpPr>
          <xdr:cNvPr id="328644" name="Rectangle 12">
            <a:extLst>
              <a:ext uri="{FF2B5EF4-FFF2-40B4-BE49-F238E27FC236}">
                <a16:creationId xmlns:a16="http://schemas.microsoft.com/office/drawing/2014/main" id="{99BE5A24-017B-4295-ADA5-0ED73C7C7BBF}"/>
              </a:ext>
            </a:extLst>
          </xdr:cNvPr>
          <xdr:cNvSpPr>
            <a:spLocks noChangeArrowheads="1"/>
          </xdr:cNvSpPr>
        </xdr:nvSpPr>
        <xdr:spPr bwMode="auto">
          <a:xfrm>
            <a:off x="4752975" y="1162050"/>
            <a:ext cx="2019300" cy="13239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>
                <a:alpha val="50000"/>
              </a:srgbClr>
            </a:outerShdw>
          </a:effectLst>
        </xdr:spPr>
      </xdr:sp>
      <xdr:sp macro="" textlink="">
        <xdr:nvSpPr>
          <xdr:cNvPr id="21" name="Text Box 6">
            <a:extLst>
              <a:ext uri="{FF2B5EF4-FFF2-40B4-BE49-F238E27FC236}">
                <a16:creationId xmlns:a16="http://schemas.microsoft.com/office/drawing/2014/main" id="{3B33E4D5-F6E2-4326-90BA-7363F9C82B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4886325" y="2105025"/>
            <a:ext cx="1743075" cy="352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Skylane N9758H</a:t>
            </a:r>
          </a:p>
        </xdr:txBody>
      </xdr:sp>
      <xdr:pic>
        <xdr:nvPicPr>
          <xdr:cNvPr id="328646" name="Picture 17">
            <a:extLst>
              <a:ext uri="{FF2B5EF4-FFF2-40B4-BE49-F238E27FC236}">
                <a16:creationId xmlns:a16="http://schemas.microsoft.com/office/drawing/2014/main" id="{603C9E84-2ED9-4D5B-9240-66E4C3F4914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91076" y="1428750"/>
            <a:ext cx="1959992" cy="619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0</xdr:col>
      <xdr:colOff>2552700</xdr:colOff>
      <xdr:row>4</xdr:row>
      <xdr:rowOff>133350</xdr:rowOff>
    </xdr:from>
    <xdr:to>
      <xdr:col>0</xdr:col>
      <xdr:colOff>4562475</xdr:colOff>
      <xdr:row>13</xdr:row>
      <xdr:rowOff>0</xdr:rowOff>
    </xdr:to>
    <xdr:grpSp>
      <xdr:nvGrpSpPr>
        <xdr:cNvPr id="4" name="Group 3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9726CC5-AF2E-185A-BC37-499E2E84A083}"/>
            </a:ext>
          </a:extLst>
        </xdr:cNvPr>
        <xdr:cNvGrpSpPr/>
      </xdr:nvGrpSpPr>
      <xdr:grpSpPr>
        <a:xfrm>
          <a:off x="2552700" y="1171575"/>
          <a:ext cx="2009775" cy="1323975"/>
          <a:chOff x="2552700" y="1171575"/>
          <a:chExt cx="2009775" cy="1323975"/>
        </a:xfrm>
      </xdr:grpSpPr>
      <xdr:sp macro="" textlink="">
        <xdr:nvSpPr>
          <xdr:cNvPr id="328647" name="Rectangle 12">
            <a:extLst>
              <a:ext uri="{FF2B5EF4-FFF2-40B4-BE49-F238E27FC236}">
                <a16:creationId xmlns:a16="http://schemas.microsoft.com/office/drawing/2014/main" id="{33AB13E9-D195-44AB-A1A8-08A7CA1B65DC}"/>
              </a:ext>
            </a:extLst>
          </xdr:cNvPr>
          <xdr:cNvSpPr>
            <a:spLocks noChangeArrowheads="1"/>
          </xdr:cNvSpPr>
        </xdr:nvSpPr>
        <xdr:spPr bwMode="auto">
          <a:xfrm>
            <a:off x="2552700" y="1171575"/>
            <a:ext cx="2009775" cy="1323975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  <a:effectLst>
            <a:outerShdw dist="107763" dir="2700000" algn="ctr" rotWithShape="0">
              <a:srgbClr val="808080">
                <a:alpha val="50000"/>
              </a:srgbClr>
            </a:outerShdw>
          </a:effectLst>
        </xdr:spPr>
      </xdr:sp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id="{C903D980-3F0C-4A96-8BB2-5317E2EA1B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686050" y="2105025"/>
            <a:ext cx="1733550" cy="361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Dakota N2915M</a:t>
            </a:r>
          </a:p>
        </xdr:txBody>
      </xdr:sp>
      <xdr:pic>
        <xdr:nvPicPr>
          <xdr:cNvPr id="3" name="Picture 2">
            <a:extLst>
              <a:ext uri="{FF2B5EF4-FFF2-40B4-BE49-F238E27FC236}">
                <a16:creationId xmlns:a16="http://schemas.microsoft.com/office/drawing/2014/main" id="{4A00ABC5-3071-C434-1001-79391D9B51C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800350" y="1304925"/>
            <a:ext cx="1495425" cy="847994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133350</xdr:rowOff>
    </xdr:from>
    <xdr:to>
      <xdr:col>6</xdr:col>
      <xdr:colOff>57150</xdr:colOff>
      <xdr:row>36</xdr:row>
      <xdr:rowOff>9525</xdr:rowOff>
    </xdr:to>
    <xdr:graphicFrame macro="">
      <xdr:nvGraphicFramePr>
        <xdr:cNvPr id="2955" name="Chart 3">
          <a:extLst>
            <a:ext uri="{FF2B5EF4-FFF2-40B4-BE49-F238E27FC236}">
              <a16:creationId xmlns:a16="http://schemas.microsoft.com/office/drawing/2014/main" id="{C5DE1862-5674-4C2B-BF3B-BD475090D8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123825</xdr:colOff>
      <xdr:row>16</xdr:row>
      <xdr:rowOff>133350</xdr:rowOff>
    </xdr:from>
    <xdr:to>
      <xdr:col>9</xdr:col>
      <xdr:colOff>714375</xdr:colOff>
      <xdr:row>36</xdr:row>
      <xdr:rowOff>28575</xdr:rowOff>
    </xdr:to>
    <xdr:graphicFrame macro="">
      <xdr:nvGraphicFramePr>
        <xdr:cNvPr id="2956" name="Chart 11">
          <a:extLst>
            <a:ext uri="{FF2B5EF4-FFF2-40B4-BE49-F238E27FC236}">
              <a16:creationId xmlns:a16="http://schemas.microsoft.com/office/drawing/2014/main" id="{F809690E-B95B-4771-9AED-75F7817A963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73025</xdr:colOff>
      <xdr:row>11</xdr:row>
      <xdr:rowOff>53975</xdr:rowOff>
    </xdr:from>
    <xdr:to>
      <xdr:col>9</xdr:col>
      <xdr:colOff>47693</xdr:colOff>
      <xdr:row>13</xdr:row>
      <xdr:rowOff>124037</xdr:rowOff>
    </xdr:to>
    <xdr:sp macro="" textlink="">
      <xdr:nvSpPr>
        <xdr:cNvPr id="1036" name="AutoShape 1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50748E79-7E16-4F77-8387-921B00FD9FE2}"/>
            </a:ext>
          </a:extLst>
        </xdr:cNvPr>
        <xdr:cNvSpPr>
          <a:spLocks noChangeArrowheads="1"/>
        </xdr:cNvSpPr>
      </xdr:nvSpPr>
      <xdr:spPr bwMode="auto">
        <a:xfrm>
          <a:off x="7734300" y="2076450"/>
          <a:ext cx="74295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Return to</a:t>
          </a:r>
        </a:p>
        <a:p>
          <a:pPr algn="ctr" rtl="0">
            <a:lnSpc>
              <a:spcPts val="10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menu</a:t>
          </a:r>
        </a:p>
      </xdr:txBody>
    </xdr:sp>
    <xdr:clientData/>
  </xdr:twoCellAnchor>
  <xdr:twoCellAnchor>
    <xdr:from>
      <xdr:col>7</xdr:col>
      <xdr:colOff>285750</xdr:colOff>
      <xdr:row>3</xdr:row>
      <xdr:rowOff>28575</xdr:rowOff>
    </xdr:from>
    <xdr:to>
      <xdr:col>10</xdr:col>
      <xdr:colOff>19050</xdr:colOff>
      <xdr:row>9</xdr:row>
      <xdr:rowOff>133350</xdr:rowOff>
    </xdr:to>
    <xdr:grpSp>
      <xdr:nvGrpSpPr>
        <xdr:cNvPr id="2958" name="Group 1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0BF21EA-3AEB-4FC3-9AF0-29A51A57E903}"/>
            </a:ext>
          </a:extLst>
        </xdr:cNvPr>
        <xdr:cNvGrpSpPr>
          <a:grpSpLocks/>
        </xdr:cNvGrpSpPr>
      </xdr:nvGrpSpPr>
      <xdr:grpSpPr bwMode="auto">
        <a:xfrm>
          <a:off x="7305675" y="742950"/>
          <a:ext cx="1847850" cy="1076325"/>
          <a:chOff x="771" y="78"/>
          <a:chExt cx="197" cy="114"/>
        </a:xfrm>
      </xdr:grpSpPr>
      <xdr:sp macro="" textlink="">
        <xdr:nvSpPr>
          <xdr:cNvPr id="1032" name="Text Box 8">
            <a:extLst>
              <a:ext uri="{FF2B5EF4-FFF2-40B4-BE49-F238E27FC236}">
                <a16:creationId xmlns:a16="http://schemas.microsoft.com/office/drawing/2014/main" id="{E824D576-6CDA-4353-87A3-8475A00E9E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73" y="149"/>
            <a:ext cx="183" cy="37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Skyhawk N642SP</a:t>
            </a:r>
          </a:p>
        </xdr:txBody>
      </xdr:sp>
      <xdr:pic>
        <xdr:nvPicPr>
          <xdr:cNvPr id="2960" name="Picture 9">
            <a:extLst>
              <a:ext uri="{FF2B5EF4-FFF2-40B4-BE49-F238E27FC236}">
                <a16:creationId xmlns:a16="http://schemas.microsoft.com/office/drawing/2014/main" id="{A7A9DFA3-4030-4927-85E2-5FC361729C6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1" y="78"/>
            <a:ext cx="182" cy="7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40" name="Text Box 16">
            <a:extLst>
              <a:ext uri="{FF2B5EF4-FFF2-40B4-BE49-F238E27FC236}">
                <a16:creationId xmlns:a16="http://schemas.microsoft.com/office/drawing/2014/main" id="{CB685C43-9703-4429-9F75-CE7E84ECD4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6" y="172"/>
            <a:ext cx="182" cy="2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(Click for blueskyaa.com details)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152400</xdr:rowOff>
    </xdr:from>
    <xdr:to>
      <xdr:col>6</xdr:col>
      <xdr:colOff>19050</xdr:colOff>
      <xdr:row>37</xdr:row>
      <xdr:rowOff>28575</xdr:rowOff>
    </xdr:to>
    <xdr:graphicFrame macro="">
      <xdr:nvGraphicFramePr>
        <xdr:cNvPr id="32446" name="Chart 3">
          <a:extLst>
            <a:ext uri="{FF2B5EF4-FFF2-40B4-BE49-F238E27FC236}">
              <a16:creationId xmlns:a16="http://schemas.microsoft.com/office/drawing/2014/main" id="{BE9DC79F-23D6-4513-9599-A7D3FEB930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542925</xdr:colOff>
      <xdr:row>12</xdr:row>
      <xdr:rowOff>66675</xdr:rowOff>
    </xdr:from>
    <xdr:to>
      <xdr:col>8</xdr:col>
      <xdr:colOff>685800</xdr:colOff>
      <xdr:row>14</xdr:row>
      <xdr:rowOff>123825</xdr:rowOff>
    </xdr:to>
    <xdr:sp macro="" textlink="">
      <xdr:nvSpPr>
        <xdr:cNvPr id="5" name="AutoShape 10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846C0BD8-4F37-4E11-97DA-3E01E7B6FCFA}"/>
            </a:ext>
          </a:extLst>
        </xdr:cNvPr>
        <xdr:cNvSpPr>
          <a:spLocks noChangeArrowheads="1"/>
        </xdr:cNvSpPr>
      </xdr:nvSpPr>
      <xdr:spPr bwMode="auto">
        <a:xfrm>
          <a:off x="8905875" y="2238375"/>
          <a:ext cx="733425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Return to</a:t>
          </a:r>
        </a:p>
        <a:p>
          <a:pPr algn="ctr" rtl="0">
            <a:lnSpc>
              <a:spcPts val="1100"/>
            </a:lnSpc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menu</a:t>
          </a:r>
        </a:p>
      </xdr:txBody>
    </xdr:sp>
    <xdr:clientData/>
  </xdr:twoCellAnchor>
  <xdr:twoCellAnchor>
    <xdr:from>
      <xdr:col>0</xdr:col>
      <xdr:colOff>742950</xdr:colOff>
      <xdr:row>23</xdr:row>
      <xdr:rowOff>38100</xdr:rowOff>
    </xdr:from>
    <xdr:to>
      <xdr:col>1</xdr:col>
      <xdr:colOff>238125</xdr:colOff>
      <xdr:row>25</xdr:row>
      <xdr:rowOff>57150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E738347D-2503-463C-A749-4E788F8A1AFF}"/>
            </a:ext>
          </a:extLst>
        </xdr:cNvPr>
        <xdr:cNvSpPr txBox="1"/>
      </xdr:nvSpPr>
      <xdr:spPr>
        <a:xfrm>
          <a:off x="742950" y="4181475"/>
          <a:ext cx="11811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Green mark is Take-off</a:t>
          </a:r>
        </a:p>
        <a:p>
          <a:r>
            <a:rPr lang="en-US" sz="800"/>
            <a:t>Red mark is Landing</a:t>
          </a:r>
        </a:p>
      </xdr:txBody>
    </xdr:sp>
    <xdr:clientData/>
  </xdr:twoCellAnchor>
  <xdr:twoCellAnchor>
    <xdr:from>
      <xdr:col>7</xdr:col>
      <xdr:colOff>133350</xdr:colOff>
      <xdr:row>2</xdr:row>
      <xdr:rowOff>153274</xdr:rowOff>
    </xdr:from>
    <xdr:to>
      <xdr:col>10</xdr:col>
      <xdr:colOff>371475</xdr:colOff>
      <xdr:row>11</xdr:row>
      <xdr:rowOff>28575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6CDD9B96-A4AE-A213-3E23-06DB583D6882}"/>
            </a:ext>
          </a:extLst>
        </xdr:cNvPr>
        <xdr:cNvGrpSpPr/>
      </xdr:nvGrpSpPr>
      <xdr:grpSpPr>
        <a:xfrm>
          <a:off x="8496300" y="705724"/>
          <a:ext cx="2352675" cy="1332626"/>
          <a:chOff x="8496300" y="705724"/>
          <a:chExt cx="2352675" cy="1332626"/>
        </a:xfrm>
      </xdr:grpSpPr>
      <xdr:sp macro="" textlink="">
        <xdr:nvSpPr>
          <xdr:cNvPr id="10" name="Text Box 7">
            <a:extLst>
              <a:ext uri="{FF2B5EF4-FFF2-40B4-BE49-F238E27FC236}">
                <a16:creationId xmlns:a16="http://schemas.microsoft.com/office/drawing/2014/main" id="{FF653F78-6AB7-43EC-8F9B-74443F4B37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8496300" y="1628775"/>
            <a:ext cx="2352675" cy="4095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Dakota N2915M</a:t>
            </a:r>
          </a:p>
        </xdr:txBody>
      </xdr:sp>
      <xdr:pic>
        <xdr:nvPicPr>
          <xdr:cNvPr id="2" name="Picture 1">
            <a:extLst>
              <a:ext uri="{FF2B5EF4-FFF2-40B4-BE49-F238E27FC236}">
                <a16:creationId xmlns:a16="http://schemas.microsoft.com/office/drawing/2014/main" id="{E71A0691-5DCD-4518-9312-F7B9188617C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505825" y="705724"/>
            <a:ext cx="1695450" cy="961420"/>
          </a:xfrm>
          <a:prstGeom prst="rect">
            <a:avLst/>
          </a:prstGeom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152400</xdr:rowOff>
    </xdr:from>
    <xdr:to>
      <xdr:col>6</xdr:col>
      <xdr:colOff>19050</xdr:colOff>
      <xdr:row>40</xdr:row>
      <xdr:rowOff>19050</xdr:rowOff>
    </xdr:to>
    <xdr:graphicFrame macro="">
      <xdr:nvGraphicFramePr>
        <xdr:cNvPr id="354731" name="Chart 3">
          <a:extLst>
            <a:ext uri="{FF2B5EF4-FFF2-40B4-BE49-F238E27FC236}">
              <a16:creationId xmlns:a16="http://schemas.microsoft.com/office/drawing/2014/main" id="{B4812C0C-D1E8-40A9-A47C-95D4F8A800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85725</xdr:colOff>
      <xdr:row>20</xdr:row>
      <xdr:rowOff>152400</xdr:rowOff>
    </xdr:from>
    <xdr:to>
      <xdr:col>9</xdr:col>
      <xdr:colOff>733425</xdr:colOff>
      <xdr:row>40</xdr:row>
      <xdr:rowOff>19050</xdr:rowOff>
    </xdr:to>
    <xdr:graphicFrame macro="">
      <xdr:nvGraphicFramePr>
        <xdr:cNvPr id="354732" name="Chart 4">
          <a:extLst>
            <a:ext uri="{FF2B5EF4-FFF2-40B4-BE49-F238E27FC236}">
              <a16:creationId xmlns:a16="http://schemas.microsoft.com/office/drawing/2014/main" id="{5FCCCA2A-D6BA-46EA-946A-DBB4A03CF6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333375</xdr:colOff>
      <xdr:row>11</xdr:row>
      <xdr:rowOff>28575</xdr:rowOff>
    </xdr:from>
    <xdr:to>
      <xdr:col>9</xdr:col>
      <xdr:colOff>304800</xdr:colOff>
      <xdr:row>13</xdr:row>
      <xdr:rowOff>85725</xdr:rowOff>
    </xdr:to>
    <xdr:sp macro="" textlink="">
      <xdr:nvSpPr>
        <xdr:cNvPr id="5" name="AutoShape 1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43E4A7-EEFE-4830-92ED-4C83EA4ED0CD}"/>
            </a:ext>
          </a:extLst>
        </xdr:cNvPr>
        <xdr:cNvSpPr>
          <a:spLocks noChangeArrowheads="1"/>
        </xdr:cNvSpPr>
      </xdr:nvSpPr>
      <xdr:spPr bwMode="auto">
        <a:xfrm>
          <a:off x="7972425" y="1876425"/>
          <a:ext cx="742950" cy="381000"/>
        </a:xfrm>
        <a:prstGeom prst="roundRect">
          <a:avLst>
            <a:gd name="adj" fmla="val 16667"/>
          </a:avLst>
        </a:pr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  <a:effectLst>
          <a:outerShdw dist="35921" dir="2700000" algn="ctr" rotWithShape="0">
            <a:srgbClr val="808080">
              <a:alpha val="50000"/>
            </a:srgbClr>
          </a:outerShdw>
        </a:effectLst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Return to</a:t>
          </a:r>
        </a:p>
        <a:p>
          <a:pPr algn="ctr" rtl="0">
            <a:defRPr sz="1000"/>
          </a:pPr>
          <a:r>
            <a:rPr lang="en-US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menu</a:t>
          </a:r>
        </a:p>
      </xdr:txBody>
    </xdr:sp>
    <xdr:clientData/>
  </xdr:twoCellAnchor>
  <xdr:twoCellAnchor>
    <xdr:from>
      <xdr:col>7</xdr:col>
      <xdr:colOff>219075</xdr:colOff>
      <xdr:row>3</xdr:row>
      <xdr:rowOff>28575</xdr:rowOff>
    </xdr:from>
    <xdr:to>
      <xdr:col>10</xdr:col>
      <xdr:colOff>476250</xdr:colOff>
      <xdr:row>10</xdr:row>
      <xdr:rowOff>133350</xdr:rowOff>
    </xdr:to>
    <xdr:grpSp>
      <xdr:nvGrpSpPr>
        <xdr:cNvPr id="354734" name="Group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894A65-835E-4C98-85F9-1B850107AAB1}"/>
            </a:ext>
          </a:extLst>
        </xdr:cNvPr>
        <xdr:cNvGrpSpPr>
          <a:grpSpLocks/>
        </xdr:cNvGrpSpPr>
      </xdr:nvGrpSpPr>
      <xdr:grpSpPr bwMode="auto">
        <a:xfrm>
          <a:off x="7248525" y="742950"/>
          <a:ext cx="2409825" cy="1238250"/>
          <a:chOff x="7248526" y="742950"/>
          <a:chExt cx="2409824" cy="1076325"/>
        </a:xfrm>
      </xdr:grpSpPr>
      <xdr:pic>
        <xdr:nvPicPr>
          <xdr:cNvPr id="354737" name="Picture 12">
            <a:extLst>
              <a:ext uri="{FF2B5EF4-FFF2-40B4-BE49-F238E27FC236}">
                <a16:creationId xmlns:a16="http://schemas.microsoft.com/office/drawing/2014/main" id="{CFD87CC5-C74E-4B4A-85C8-8841546B6D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5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248526" y="742950"/>
            <a:ext cx="1959992" cy="6191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Text Box 7">
            <a:extLst>
              <a:ext uri="{FF2B5EF4-FFF2-40B4-BE49-F238E27FC236}">
                <a16:creationId xmlns:a16="http://schemas.microsoft.com/office/drawing/2014/main" id="{67D0AB51-23ED-4CA8-9A62-4A4F8228D4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486651" y="1355627"/>
            <a:ext cx="2171699" cy="34773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36576" tIns="32004" rIns="0" bIns="0" anchor="t" upright="1"/>
          <a:lstStyle/>
          <a:p>
            <a:pPr algn="l" rtl="0">
              <a:defRPr sz="1000"/>
            </a:pPr>
            <a:r>
              <a:rPr lang="en-US" sz="16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Skylane N9758H</a:t>
            </a:r>
          </a:p>
        </xdr:txBody>
      </xdr:sp>
      <xdr:sp macro="" textlink="">
        <xdr:nvSpPr>
          <xdr:cNvPr id="9" name="Text Box 12">
            <a:extLst>
              <a:ext uri="{FF2B5EF4-FFF2-40B4-BE49-F238E27FC236}">
                <a16:creationId xmlns:a16="http://schemas.microsoft.com/office/drawing/2014/main" id="{AF3EDA26-6366-4105-8A62-AFFDEAB70C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591426" y="1628848"/>
            <a:ext cx="1733549" cy="19042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(Click for blueskyaa.com details)</a:t>
            </a:r>
          </a:p>
        </xdr:txBody>
      </xdr:sp>
    </xdr:grpSp>
    <xdr:clientData/>
  </xdr:twoCellAnchor>
  <xdr:twoCellAnchor>
    <xdr:from>
      <xdr:col>0</xdr:col>
      <xdr:colOff>723900</xdr:colOff>
      <xdr:row>26</xdr:row>
      <xdr:rowOff>38100</xdr:rowOff>
    </xdr:from>
    <xdr:to>
      <xdr:col>2</xdr:col>
      <xdr:colOff>114300</xdr:colOff>
      <xdr:row>28</xdr:row>
      <xdr:rowOff>57150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A9FA97A-55F4-4F0F-A597-0387527971CC}"/>
            </a:ext>
          </a:extLst>
        </xdr:cNvPr>
        <xdr:cNvSpPr txBox="1"/>
      </xdr:nvSpPr>
      <xdr:spPr>
        <a:xfrm>
          <a:off x="723900" y="4476750"/>
          <a:ext cx="12573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Green mark is Take-off</a:t>
          </a:r>
        </a:p>
        <a:p>
          <a:r>
            <a:rPr lang="en-US" sz="800"/>
            <a:t>Red mark is Landing</a:t>
          </a:r>
        </a:p>
      </xdr:txBody>
    </xdr:sp>
    <xdr:clientData/>
  </xdr:twoCellAnchor>
  <xdr:twoCellAnchor>
    <xdr:from>
      <xdr:col>6</xdr:col>
      <xdr:colOff>809625</xdr:colOff>
      <xdr:row>26</xdr:row>
      <xdr:rowOff>66675</xdr:rowOff>
    </xdr:from>
    <xdr:to>
      <xdr:col>6</xdr:col>
      <xdr:colOff>2066925</xdr:colOff>
      <xdr:row>28</xdr:row>
      <xdr:rowOff>85725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FF1005F5-512E-4374-985D-630A5051F3ED}"/>
            </a:ext>
          </a:extLst>
        </xdr:cNvPr>
        <xdr:cNvSpPr txBox="1"/>
      </xdr:nvSpPr>
      <xdr:spPr>
        <a:xfrm>
          <a:off x="5191125" y="4505325"/>
          <a:ext cx="1257300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/>
            <a:t>Green mark is Take-off</a:t>
          </a:r>
        </a:p>
        <a:p>
          <a:r>
            <a:rPr lang="en-US" sz="800"/>
            <a:t>Red mark is Landing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blueskyaa.com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30"/>
  <sheetViews>
    <sheetView showGridLines="0" tabSelected="1" workbookViewId="0">
      <selection activeCell="C12" sqref="C12"/>
    </sheetView>
  </sheetViews>
  <sheetFormatPr defaultColWidth="8.85546875" defaultRowHeight="12.75" x14ac:dyDescent="0.2"/>
  <cols>
    <col min="1" max="1" width="101.42578125" style="51" customWidth="1"/>
  </cols>
  <sheetData>
    <row r="1" spans="1:4" s="38" customFormat="1" ht="23.25" x14ac:dyDescent="0.35">
      <c r="A1" s="77" t="s">
        <v>22</v>
      </c>
      <c r="B1" s="80" t="s">
        <v>91</v>
      </c>
    </row>
    <row r="2" spans="1:4" s="45" customFormat="1" ht="20.25" x14ac:dyDescent="0.3">
      <c r="A2" s="50" t="s">
        <v>24</v>
      </c>
    </row>
    <row r="3" spans="1:4" s="45" customFormat="1" ht="20.25" x14ac:dyDescent="0.3">
      <c r="A3" s="50"/>
    </row>
    <row r="4" spans="1:4" s="53" customFormat="1" ht="18" x14ac:dyDescent="0.25">
      <c r="A4" s="73" t="s">
        <v>29</v>
      </c>
    </row>
    <row r="9" spans="1:4" x14ac:dyDescent="0.2">
      <c r="D9" s="81"/>
    </row>
    <row r="14" spans="1:4" s="48" customFormat="1" ht="15" x14ac:dyDescent="0.2">
      <c r="A14" s="49"/>
    </row>
    <row r="15" spans="1:4" ht="15.75" x14ac:dyDescent="0.25">
      <c r="A15" s="47"/>
    </row>
    <row r="16" spans="1:4" s="48" customFormat="1" ht="15.75" x14ac:dyDescent="0.25">
      <c r="A16" s="47"/>
    </row>
    <row r="17" spans="1:1" s="48" customFormat="1" ht="15" x14ac:dyDescent="0.2">
      <c r="A17" s="54"/>
    </row>
    <row r="18" spans="1:1" s="48" customFormat="1" ht="15" x14ac:dyDescent="0.2">
      <c r="A18" s="54"/>
    </row>
    <row r="19" spans="1:1" s="48" customFormat="1" ht="15" x14ac:dyDescent="0.2">
      <c r="A19" s="55"/>
    </row>
    <row r="20" spans="1:1" s="48" customFormat="1" ht="15" x14ac:dyDescent="0.2">
      <c r="A20" s="55"/>
    </row>
    <row r="21" spans="1:1" s="48" customFormat="1" ht="15" x14ac:dyDescent="0.2">
      <c r="A21" s="55"/>
    </row>
    <row r="22" spans="1:1" s="48" customFormat="1" ht="15" x14ac:dyDescent="0.2">
      <c r="A22" s="54"/>
    </row>
    <row r="23" spans="1:1" s="48" customFormat="1" ht="15" x14ac:dyDescent="0.2">
      <c r="A23" s="54"/>
    </row>
    <row r="24" spans="1:1" s="48" customFormat="1" ht="15" x14ac:dyDescent="0.2">
      <c r="A24" s="54"/>
    </row>
    <row r="25" spans="1:1" s="48" customFormat="1" ht="15" x14ac:dyDescent="0.2">
      <c r="A25" s="54"/>
    </row>
    <row r="26" spans="1:1" s="48" customFormat="1" ht="15" x14ac:dyDescent="0.2">
      <c r="A26" s="54"/>
    </row>
    <row r="27" spans="1:1" s="48" customFormat="1" ht="15" x14ac:dyDescent="0.2">
      <c r="A27" s="51"/>
    </row>
    <row r="30" spans="1:1" x14ac:dyDescent="0.2">
      <c r="A30" s="52"/>
    </row>
  </sheetData>
  <sheetProtection algorithmName="SHA-512" hashValue="9BvF6hvuOQSmRgL9+mR1MgPuJT/u6bF8rX+d7SJaSC22ymQBvX3l1ACwTAroJ89qvgtmv4fAvhHigRV+6M74qA==" saltValue="aMfzdwQTJqlI+nKGaEjVjg==" spinCount="100000" sheet="1" objects="1" scenarios="1"/>
  <phoneticPr fontId="1" type="noConversion"/>
  <hyperlinks>
    <hyperlink ref="A1" r:id="rId1" xr:uid="{00000000-0004-0000-0000-000000000000}"/>
  </hyperlinks>
  <pageMargins left="0.75" right="0.75" top="1" bottom="1" header="0.5" footer="0.5"/>
  <pageSetup scale="88" orientation="landscape" horizontalDpi="4294967293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62"/>
  <sheetViews>
    <sheetView showGridLines="0" workbookViewId="0">
      <selection activeCell="C9" sqref="C9"/>
    </sheetView>
  </sheetViews>
  <sheetFormatPr defaultColWidth="8.85546875" defaultRowHeight="12.75" x14ac:dyDescent="0.2"/>
  <cols>
    <col min="1" max="1" width="23.42578125" customWidth="1"/>
    <col min="2" max="2" width="4.42578125" customWidth="1"/>
    <col min="3" max="3" width="13.7109375" customWidth="1"/>
    <col min="4" max="4" width="12.7109375" customWidth="1"/>
    <col min="5" max="5" width="10.140625" bestFit="1" customWidth="1"/>
    <col min="6" max="6" width="0.42578125" customWidth="1"/>
    <col min="7" max="7" width="40.42578125" customWidth="1"/>
    <col min="8" max="8" width="8.85546875" customWidth="1"/>
    <col min="9" max="10" width="11.42578125" customWidth="1"/>
  </cols>
  <sheetData>
    <row r="1" spans="1:9" s="56" customFormat="1" ht="23.25" x14ac:dyDescent="0.35">
      <c r="A1" s="56" t="s">
        <v>22</v>
      </c>
      <c r="H1" s="52" t="str">
        <f>Menu!$B$1</f>
        <v>Last Rev: June 2, 2023</v>
      </c>
    </row>
    <row r="2" spans="1:9" s="45" customFormat="1" ht="20.25" x14ac:dyDescent="0.3">
      <c r="A2" s="45" t="s">
        <v>24</v>
      </c>
      <c r="H2" s="59"/>
    </row>
    <row r="4" spans="1:9" x14ac:dyDescent="0.2">
      <c r="A4" s="61" t="s">
        <v>25</v>
      </c>
      <c r="B4" s="61"/>
      <c r="C4" s="62" t="s">
        <v>8</v>
      </c>
      <c r="D4" s="62" t="s">
        <v>0</v>
      </c>
      <c r="E4" s="62" t="s">
        <v>5</v>
      </c>
      <c r="F4" s="62"/>
      <c r="G4" s="63" t="s">
        <v>21</v>
      </c>
      <c r="I4" s="39"/>
    </row>
    <row r="5" spans="1:9" x14ac:dyDescent="0.2">
      <c r="A5" s="64" t="s">
        <v>4</v>
      </c>
      <c r="B5" s="64"/>
      <c r="C5" s="66">
        <v>1714.27</v>
      </c>
      <c r="D5" s="65">
        <f>E5/C5</f>
        <v>40.512048860447884</v>
      </c>
      <c r="E5" s="66">
        <v>69448.59</v>
      </c>
      <c r="F5" s="64">
        <f>E5/1000</f>
        <v>69.448589999999996</v>
      </c>
      <c r="G5" s="67" t="s">
        <v>51</v>
      </c>
      <c r="I5" s="3"/>
    </row>
    <row r="6" spans="1:9" x14ac:dyDescent="0.2">
      <c r="A6" s="64" t="s">
        <v>6</v>
      </c>
      <c r="B6" s="64"/>
      <c r="C6" s="66">
        <f>C7-C5</f>
        <v>835.73</v>
      </c>
      <c r="D6" s="65"/>
      <c r="E6" s="66"/>
      <c r="F6" s="64"/>
      <c r="G6" s="68"/>
      <c r="I6" s="3"/>
    </row>
    <row r="7" spans="1:9" x14ac:dyDescent="0.2">
      <c r="A7" s="64" t="s">
        <v>7</v>
      </c>
      <c r="B7" s="64"/>
      <c r="C7" s="60">
        <v>2550</v>
      </c>
      <c r="D7" s="65"/>
      <c r="E7" s="66"/>
      <c r="F7" s="64"/>
      <c r="G7" s="68"/>
      <c r="I7" s="3"/>
    </row>
    <row r="8" spans="1:9" x14ac:dyDescent="0.2">
      <c r="A8" s="64"/>
      <c r="B8" s="64"/>
      <c r="C8" s="60"/>
      <c r="D8" s="65"/>
      <c r="E8" s="66"/>
      <c r="F8" s="64"/>
      <c r="G8" s="69"/>
    </row>
    <row r="9" spans="1:9" x14ac:dyDescent="0.2">
      <c r="A9" s="64" t="s">
        <v>1</v>
      </c>
      <c r="B9" s="64"/>
      <c r="C9" s="79"/>
      <c r="D9" s="65">
        <v>37</v>
      </c>
      <c r="E9" s="66">
        <f>D9*C9</f>
        <v>0</v>
      </c>
      <c r="F9" s="64">
        <f t="shared" ref="F9:F15" si="0">E9/1000</f>
        <v>0</v>
      </c>
      <c r="G9" s="69"/>
    </row>
    <row r="10" spans="1:9" x14ac:dyDescent="0.2">
      <c r="A10" s="64" t="s">
        <v>2</v>
      </c>
      <c r="B10" s="64"/>
      <c r="C10" s="79"/>
      <c r="D10" s="65">
        <v>73</v>
      </c>
      <c r="E10" s="66">
        <f>D10*C10</f>
        <v>0</v>
      </c>
      <c r="F10" s="64">
        <f t="shared" si="0"/>
        <v>0</v>
      </c>
      <c r="G10" s="69"/>
    </row>
    <row r="11" spans="1:9" x14ac:dyDescent="0.2">
      <c r="A11" s="64" t="s">
        <v>28</v>
      </c>
      <c r="B11" s="64"/>
      <c r="C11" s="79">
        <v>10</v>
      </c>
      <c r="D11" s="65">
        <v>95</v>
      </c>
      <c r="E11" s="66">
        <f>D11*C11</f>
        <v>950</v>
      </c>
      <c r="F11" s="64">
        <f t="shared" si="0"/>
        <v>0.95</v>
      </c>
      <c r="G11" s="69" t="str">
        <f>IF(C11+C12&gt;120,"Total baggage weight can't exceed 120 lbs","ok")</f>
        <v>ok</v>
      </c>
    </row>
    <row r="12" spans="1:9" x14ac:dyDescent="0.2">
      <c r="A12" s="64" t="s">
        <v>3</v>
      </c>
      <c r="B12" s="64"/>
      <c r="C12" s="79"/>
      <c r="D12" s="65">
        <v>123</v>
      </c>
      <c r="E12" s="66">
        <f>D12*C12</f>
        <v>0</v>
      </c>
      <c r="F12" s="64">
        <f t="shared" si="0"/>
        <v>0</v>
      </c>
      <c r="G12" s="69" t="str">
        <f>IF(C12&gt;50,"Area 2 weight can not exceed 50 lbs","ok")</f>
        <v>ok</v>
      </c>
    </row>
    <row r="13" spans="1:9" x14ac:dyDescent="0.2">
      <c r="A13" s="64" t="s">
        <v>19</v>
      </c>
      <c r="B13" s="122">
        <v>0</v>
      </c>
      <c r="C13" s="66">
        <f>B13*6</f>
        <v>0</v>
      </c>
      <c r="D13" s="65">
        <v>46</v>
      </c>
      <c r="E13" s="66">
        <f>D13*C13</f>
        <v>0</v>
      </c>
      <c r="F13" s="64">
        <f t="shared" si="0"/>
        <v>0</v>
      </c>
      <c r="G13" s="69" t="str">
        <f>IF(B13&gt;53,"Usable fuel can not exceed 53 gals","ok")</f>
        <v>ok</v>
      </c>
    </row>
    <row r="14" spans="1:9" x14ac:dyDescent="0.2">
      <c r="A14" s="64"/>
      <c r="B14" s="64"/>
      <c r="C14" s="66"/>
      <c r="D14" s="65"/>
      <c r="E14" s="66"/>
      <c r="F14" s="64">
        <f t="shared" si="0"/>
        <v>0</v>
      </c>
      <c r="G14" s="69"/>
    </row>
    <row r="15" spans="1:9" x14ac:dyDescent="0.2">
      <c r="A15" s="67" t="s">
        <v>44</v>
      </c>
      <c r="B15" s="67"/>
      <c r="C15" s="71">
        <f>SUM(C9:C14)+C5</f>
        <v>1724.27</v>
      </c>
      <c r="D15" s="70">
        <f>E15/C15</f>
        <v>40.828054771004538</v>
      </c>
      <c r="E15" s="71">
        <f>SUM(E5:E14)</f>
        <v>70398.59</v>
      </c>
      <c r="F15" s="64">
        <f t="shared" si="0"/>
        <v>70.398589999999999</v>
      </c>
      <c r="G15" s="72" t="str">
        <f>IF(C15&gt;C7,CONCATENATE("Max T/O weight exceeded by ", ROUND(C15-C7,0), " lbs"),"ok")</f>
        <v>ok</v>
      </c>
    </row>
    <row r="16" spans="1:9" x14ac:dyDescent="0.2">
      <c r="C16" s="1"/>
      <c r="E16" s="1"/>
    </row>
    <row r="17" spans="3:5" x14ac:dyDescent="0.2">
      <c r="C17" s="1"/>
      <c r="E17" s="1"/>
    </row>
    <row r="20" spans="3:5" s="2" customFormat="1" x14ac:dyDescent="0.2"/>
    <row r="30" spans="3:5" s="2" customFormat="1" x14ac:dyDescent="0.2"/>
    <row r="31" spans="3:5" s="2" customFormat="1" x14ac:dyDescent="0.2"/>
    <row r="40" spans="1:11" x14ac:dyDescent="0.2">
      <c r="A40" s="26" t="s">
        <v>17</v>
      </c>
      <c r="B40" s="40"/>
      <c r="C40" s="27"/>
      <c r="D40" s="27"/>
      <c r="E40" s="28"/>
      <c r="G40" s="26" t="s">
        <v>17</v>
      </c>
      <c r="H40" s="40"/>
      <c r="I40" s="27"/>
      <c r="J40" s="27"/>
      <c r="K40" s="28"/>
    </row>
    <row r="41" spans="1:11" x14ac:dyDescent="0.2">
      <c r="A41" s="29" t="s">
        <v>18</v>
      </c>
      <c r="B41" s="41"/>
      <c r="C41" s="30"/>
      <c r="D41" s="30"/>
      <c r="E41" s="31"/>
      <c r="G41" s="29" t="s">
        <v>18</v>
      </c>
      <c r="H41" s="41"/>
      <c r="I41" s="30"/>
      <c r="J41" s="30"/>
      <c r="K41" s="31"/>
    </row>
    <row r="42" spans="1:11" x14ac:dyDescent="0.2">
      <c r="A42" s="4" t="s">
        <v>11</v>
      </c>
      <c r="B42" s="42"/>
      <c r="C42" s="5"/>
      <c r="D42" s="6"/>
      <c r="E42" s="7"/>
      <c r="G42" s="4" t="s">
        <v>14</v>
      </c>
      <c r="H42" s="42"/>
      <c r="I42" s="5"/>
      <c r="J42" s="6"/>
      <c r="K42" s="7"/>
    </row>
    <row r="43" spans="1:11" x14ac:dyDescent="0.2">
      <c r="A43" s="32" t="s">
        <v>12</v>
      </c>
      <c r="B43" s="43"/>
      <c r="C43" s="33"/>
      <c r="D43" s="36" t="s">
        <v>13</v>
      </c>
      <c r="E43" s="34"/>
      <c r="G43" s="32" t="s">
        <v>12</v>
      </c>
      <c r="H43" s="43"/>
      <c r="I43" s="35"/>
      <c r="J43" s="36" t="s">
        <v>13</v>
      </c>
      <c r="K43" s="37"/>
    </row>
    <row r="44" spans="1:11" ht="51" x14ac:dyDescent="0.2">
      <c r="A44" s="17" t="s">
        <v>10</v>
      </c>
      <c r="B44" s="18"/>
      <c r="C44" s="18" t="s">
        <v>9</v>
      </c>
      <c r="D44" s="19" t="s">
        <v>10</v>
      </c>
      <c r="E44" s="20" t="s">
        <v>9</v>
      </c>
      <c r="G44" s="9" t="s">
        <v>16</v>
      </c>
      <c r="H44" s="10"/>
      <c r="I44" s="10" t="s">
        <v>15</v>
      </c>
      <c r="J44" s="11" t="s">
        <v>16</v>
      </c>
      <c r="K44" s="12" t="s">
        <v>15</v>
      </c>
    </row>
    <row r="45" spans="1:11" x14ac:dyDescent="0.2">
      <c r="A45" s="13">
        <v>52</v>
      </c>
      <c r="B45" s="44"/>
      <c r="C45" s="8">
        <v>1500</v>
      </c>
      <c r="D45" s="14">
        <v>52</v>
      </c>
      <c r="E45" s="15">
        <v>1500</v>
      </c>
      <c r="G45" s="17">
        <v>35</v>
      </c>
      <c r="H45" s="18"/>
      <c r="I45" s="18">
        <v>1500</v>
      </c>
      <c r="J45" s="19">
        <v>35</v>
      </c>
      <c r="K45" s="20">
        <v>1500</v>
      </c>
    </row>
    <row r="46" spans="1:11" x14ac:dyDescent="0.2">
      <c r="A46" s="13">
        <v>68</v>
      </c>
      <c r="B46" s="44"/>
      <c r="C46" s="8">
        <v>1950</v>
      </c>
      <c r="D46" s="14">
        <v>68</v>
      </c>
      <c r="E46" s="15">
        <v>1950</v>
      </c>
      <c r="G46" s="21">
        <v>35</v>
      </c>
      <c r="H46" s="8"/>
      <c r="I46" s="8">
        <v>1950</v>
      </c>
      <c r="J46" s="16">
        <v>35</v>
      </c>
      <c r="K46" s="15">
        <v>1950</v>
      </c>
    </row>
    <row r="47" spans="1:11" x14ac:dyDescent="0.2">
      <c r="A47" s="13">
        <v>104.5</v>
      </c>
      <c r="B47" s="44"/>
      <c r="C47" s="8">
        <v>2550</v>
      </c>
      <c r="D47" s="16">
        <v>83.2</v>
      </c>
      <c r="E47" s="15">
        <v>2200</v>
      </c>
      <c r="G47" s="21">
        <v>41</v>
      </c>
      <c r="H47" s="8"/>
      <c r="I47" s="8">
        <v>2550</v>
      </c>
      <c r="J47" s="16">
        <v>37.5</v>
      </c>
      <c r="K47" s="15">
        <v>2200</v>
      </c>
    </row>
    <row r="48" spans="1:11" x14ac:dyDescent="0.2">
      <c r="A48" s="13">
        <v>121</v>
      </c>
      <c r="B48" s="44"/>
      <c r="C48" s="8">
        <v>2550</v>
      </c>
      <c r="D48" s="16">
        <v>89</v>
      </c>
      <c r="E48" s="15">
        <v>2200</v>
      </c>
      <c r="G48" s="21">
        <v>47.3</v>
      </c>
      <c r="H48" s="8"/>
      <c r="I48" s="8">
        <v>2550</v>
      </c>
      <c r="J48" s="16">
        <v>40.5</v>
      </c>
      <c r="K48" s="15">
        <v>2200</v>
      </c>
    </row>
    <row r="49" spans="1:11" x14ac:dyDescent="0.2">
      <c r="A49" s="57">
        <v>70.5</v>
      </c>
      <c r="B49" s="58"/>
      <c r="C49" s="23">
        <v>1500</v>
      </c>
      <c r="D49" s="24">
        <v>60.5</v>
      </c>
      <c r="E49" s="25">
        <v>1500</v>
      </c>
      <c r="G49" s="22">
        <v>47.3</v>
      </c>
      <c r="H49" s="23"/>
      <c r="I49" s="23">
        <v>1500</v>
      </c>
      <c r="J49" s="24">
        <v>40.5</v>
      </c>
      <c r="K49" s="25">
        <v>1500</v>
      </c>
    </row>
    <row r="51" spans="1:11" x14ac:dyDescent="0.2">
      <c r="F51" s="2"/>
      <c r="G51" s="2"/>
    </row>
    <row r="61" spans="1:11" x14ac:dyDescent="0.2">
      <c r="F61" s="2"/>
      <c r="G61" s="2"/>
    </row>
    <row r="62" spans="1:11" x14ac:dyDescent="0.2">
      <c r="F62" s="2"/>
      <c r="G62" s="2"/>
    </row>
  </sheetData>
  <sheetProtection algorithmName="SHA-512" hashValue="xGRVdJeEIXNWr+JUAGaRmK3xvD8IWEpfrzoNs2wcxUPK5tziQWIahGTXqW2CNGi5c8jsd9DzaCUwCtU1F0lYJw==" saltValue="3Wu8PtZVDTVoixtvqZne5g==" spinCount="100000" sheet="1" objects="1" scenarios="1"/>
  <phoneticPr fontId="1" type="noConversion"/>
  <pageMargins left="0.75" right="0.75" top="1" bottom="1" header="0.5" footer="0.5"/>
  <pageSetup scale="88" orientation="landscape" horizontalDpi="4294967293"/>
  <headerFooter alignWithMargins="0">
    <oddFooter>&amp;LPrinted on &amp;D &amp;T&amp;RPIC must confirm accuracy of data with official aircraft documentation.</oddFooter>
  </headerFooter>
  <ignoredErrors>
    <ignoredError sqref="C13" unlocked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65"/>
  <sheetViews>
    <sheetView showGridLines="0" zoomScaleNormal="100" workbookViewId="0">
      <selection activeCell="C10" sqref="C10"/>
    </sheetView>
  </sheetViews>
  <sheetFormatPr defaultColWidth="8.85546875" defaultRowHeight="12.75" x14ac:dyDescent="0.2"/>
  <cols>
    <col min="1" max="1" width="25.28515625" customWidth="1"/>
    <col min="2" max="2" width="5.85546875" customWidth="1"/>
    <col min="3" max="3" width="13.7109375" customWidth="1"/>
    <col min="4" max="4" width="12.7109375" customWidth="1"/>
    <col min="5" max="5" width="10.5703125" bestFit="1" customWidth="1"/>
    <col min="6" max="6" width="1" customWidth="1"/>
    <col min="7" max="7" width="56.28515625" customWidth="1"/>
    <col min="8" max="8" width="8.85546875" customWidth="1"/>
    <col min="9" max="10" width="11.42578125" customWidth="1"/>
  </cols>
  <sheetData>
    <row r="1" spans="1:12" s="56" customFormat="1" ht="23.25" x14ac:dyDescent="0.35">
      <c r="A1" s="56" t="s">
        <v>22</v>
      </c>
      <c r="H1" s="52" t="str">
        <f>Menu!$B$1</f>
        <v>Last Rev: June 2, 2023</v>
      </c>
    </row>
    <row r="2" spans="1:12" s="45" customFormat="1" ht="20.25" x14ac:dyDescent="0.3">
      <c r="A2" s="45" t="s">
        <v>24</v>
      </c>
      <c r="G2" s="85"/>
      <c r="H2" s="59"/>
    </row>
    <row r="3" spans="1:12" x14ac:dyDescent="0.2">
      <c r="A3" t="s">
        <v>23</v>
      </c>
      <c r="G3" s="86"/>
    </row>
    <row r="4" spans="1:12" x14ac:dyDescent="0.2">
      <c r="A4" s="61" t="s">
        <v>89</v>
      </c>
      <c r="B4" s="61"/>
      <c r="C4" s="62" t="s">
        <v>8</v>
      </c>
      <c r="D4" s="62" t="s">
        <v>0</v>
      </c>
      <c r="E4" s="62" t="s">
        <v>5</v>
      </c>
      <c r="F4" s="62"/>
      <c r="G4" s="63" t="s">
        <v>21</v>
      </c>
      <c r="I4" s="39"/>
    </row>
    <row r="5" spans="1:12" x14ac:dyDescent="0.2">
      <c r="A5" s="121" t="s">
        <v>4</v>
      </c>
      <c r="B5" s="121"/>
      <c r="C5" s="82">
        <v>1841.84</v>
      </c>
      <c r="D5" s="83">
        <f>E5/C5</f>
        <v>85.831364287886032</v>
      </c>
      <c r="E5" s="82">
        <v>158087.64000000001</v>
      </c>
      <c r="F5" s="121">
        <f>E5/1000</f>
        <v>158.08764000000002</v>
      </c>
      <c r="G5" s="135" t="s">
        <v>92</v>
      </c>
      <c r="I5" s="3"/>
      <c r="L5" s="78"/>
    </row>
    <row r="6" spans="1:12" x14ac:dyDescent="0.2">
      <c r="A6" s="121" t="s">
        <v>6</v>
      </c>
      <c r="B6" s="126"/>
      <c r="C6" s="82">
        <f>C7-C5</f>
        <v>1158.1600000000001</v>
      </c>
      <c r="D6" s="124"/>
      <c r="E6" s="123"/>
      <c r="F6" s="64"/>
      <c r="G6" s="125"/>
      <c r="I6" s="3"/>
      <c r="L6" s="78"/>
    </row>
    <row r="7" spans="1:12" x14ac:dyDescent="0.2">
      <c r="A7" s="121" t="s">
        <v>46</v>
      </c>
      <c r="B7" s="121"/>
      <c r="C7" s="82">
        <v>3000</v>
      </c>
      <c r="D7" s="124"/>
      <c r="E7" s="123"/>
      <c r="F7" s="64"/>
      <c r="G7" s="121" t="s">
        <v>84</v>
      </c>
      <c r="I7" s="3"/>
    </row>
    <row r="8" spans="1:12" x14ac:dyDescent="0.2">
      <c r="A8" s="121" t="s">
        <v>45</v>
      </c>
      <c r="B8" s="121"/>
      <c r="C8" s="82">
        <f>C7</f>
        <v>3000</v>
      </c>
      <c r="D8" s="83"/>
      <c r="E8" s="82"/>
      <c r="F8" s="121"/>
      <c r="G8" s="126"/>
      <c r="I8" s="3"/>
    </row>
    <row r="9" spans="1:12" x14ac:dyDescent="0.2">
      <c r="A9" s="126"/>
      <c r="B9" s="126"/>
      <c r="C9" s="123"/>
      <c r="D9" s="124"/>
      <c r="E9" s="84"/>
      <c r="F9" s="64"/>
      <c r="G9" s="125"/>
    </row>
    <row r="10" spans="1:12" x14ac:dyDescent="0.2">
      <c r="A10" s="121" t="s">
        <v>1</v>
      </c>
      <c r="B10" s="121"/>
      <c r="C10" s="141">
        <f>2*170</f>
        <v>340</v>
      </c>
      <c r="D10" s="83">
        <v>80.5</v>
      </c>
      <c r="E10" s="82">
        <f>D10*C10</f>
        <v>27370</v>
      </c>
      <c r="F10" s="121">
        <f t="shared" ref="F10:F15" si="0">E10/1000</f>
        <v>27.37</v>
      </c>
      <c r="G10" s="125"/>
    </row>
    <row r="11" spans="1:12" x14ac:dyDescent="0.2">
      <c r="A11" s="121" t="s">
        <v>2</v>
      </c>
      <c r="B11" s="121"/>
      <c r="C11" s="141">
        <f>2*170</f>
        <v>340</v>
      </c>
      <c r="D11" s="83">
        <v>118.1</v>
      </c>
      <c r="E11" s="82">
        <f>D11*C11</f>
        <v>40154</v>
      </c>
      <c r="F11" s="64">
        <f t="shared" si="0"/>
        <v>40.154000000000003</v>
      </c>
      <c r="G11" s="125"/>
    </row>
    <row r="12" spans="1:12" x14ac:dyDescent="0.2">
      <c r="A12" s="121" t="s">
        <v>83</v>
      </c>
      <c r="B12" s="121"/>
      <c r="C12" s="141">
        <v>25</v>
      </c>
      <c r="D12" s="83">
        <v>142.80000000000001</v>
      </c>
      <c r="E12" s="82">
        <f>D12*C12</f>
        <v>3570.0000000000005</v>
      </c>
      <c r="F12" s="121">
        <f t="shared" si="0"/>
        <v>3.5700000000000003</v>
      </c>
      <c r="G12" s="125" t="str">
        <f>IF(C12&gt;200,"Total baggage weight can't exceed 200 lbs","ok")</f>
        <v>ok</v>
      </c>
    </row>
    <row r="13" spans="1:12" x14ac:dyDescent="0.2">
      <c r="A13" s="121" t="s">
        <v>82</v>
      </c>
      <c r="B13" s="140">
        <v>50</v>
      </c>
      <c r="C13" s="82">
        <f>B13*6</f>
        <v>300</v>
      </c>
      <c r="D13" s="83">
        <v>95</v>
      </c>
      <c r="E13" s="82">
        <f>D13*C13</f>
        <v>28500</v>
      </c>
      <c r="F13" s="121">
        <f t="shared" si="0"/>
        <v>28.5</v>
      </c>
      <c r="G13" s="125" t="str">
        <f>IF(B13&gt;72,"Usable fuel can not exceed 72 gals","ok")</f>
        <v>ok</v>
      </c>
    </row>
    <row r="14" spans="1:12" x14ac:dyDescent="0.2">
      <c r="A14" s="126"/>
      <c r="B14" s="126"/>
      <c r="C14" s="123"/>
      <c r="D14" s="124"/>
      <c r="E14" s="123"/>
      <c r="F14" s="64">
        <f t="shared" si="0"/>
        <v>0</v>
      </c>
      <c r="G14" s="125"/>
    </row>
    <row r="15" spans="1:12" x14ac:dyDescent="0.2">
      <c r="A15" s="135" t="s">
        <v>44</v>
      </c>
      <c r="B15" s="135"/>
      <c r="C15" s="143">
        <f>SUM(C10:C14)+C5</f>
        <v>2846.84</v>
      </c>
      <c r="D15" s="144">
        <f>E15/C15</f>
        <v>90.514970985373253</v>
      </c>
      <c r="E15" s="143">
        <f>SUM(E5:E14)</f>
        <v>257681.64</v>
      </c>
      <c r="F15" s="121">
        <f t="shared" si="0"/>
        <v>257.68164000000002</v>
      </c>
      <c r="G15" s="125" t="str">
        <f>IF(C15&gt;3000,CONCATENATE("Max T/O and landing weight exceeded by ", TEXT(C15-C7,"0.0"), " lbs"),"ok")</f>
        <v>ok</v>
      </c>
    </row>
    <row r="16" spans="1:12" x14ac:dyDescent="0.2">
      <c r="A16" s="121" t="s">
        <v>47</v>
      </c>
      <c r="B16" s="142">
        <v>10</v>
      </c>
      <c r="C16" s="143"/>
      <c r="D16" s="144"/>
      <c r="E16" s="143"/>
      <c r="F16" s="121"/>
      <c r="G16" s="125" t="str">
        <f>IF(B16&gt;B13,CONCATENATE("You can't use more fuel than you have. (",B13," gals)"),"ok")</f>
        <v>ok</v>
      </c>
    </row>
    <row r="17" spans="1:7" ht="15" customHeight="1" x14ac:dyDescent="0.2">
      <c r="A17" s="135" t="s">
        <v>48</v>
      </c>
      <c r="B17" s="121"/>
      <c r="C17" s="143">
        <f>C15-(B16*6)</f>
        <v>2786.84</v>
      </c>
      <c r="D17" s="144">
        <f>E17/C17</f>
        <v>90.418409381234667</v>
      </c>
      <c r="E17" s="143">
        <f>E15-(B16*6*D13)</f>
        <v>251981.64</v>
      </c>
      <c r="F17" s="64">
        <f>E17/1000</f>
        <v>251.98164000000003</v>
      </c>
      <c r="G17" s="145" t="str">
        <f>IF(C17&lt;=C8,"ok",CONCATENATE("Exceeds ",C8," lbs. ",CHAR(10),"Need to shed ",TEXT((C17-C8)/6,"0.0")," more gals (",TEXT((C17-C8),"0.0")," lbs) before landing"))</f>
        <v>ok</v>
      </c>
    </row>
    <row r="18" spans="1:7" x14ac:dyDescent="0.2">
      <c r="C18" s="1"/>
      <c r="E18" s="1"/>
    </row>
    <row r="21" spans="1:7" s="2" customFormat="1" x14ac:dyDescent="0.2"/>
    <row r="31" spans="1:7" s="2" customFormat="1" x14ac:dyDescent="0.2"/>
    <row r="32" spans="1:7" s="2" customFormat="1" x14ac:dyDescent="0.2"/>
    <row r="41" spans="1:5" x14ac:dyDescent="0.2">
      <c r="A41" s="26" t="s">
        <v>17</v>
      </c>
      <c r="B41" s="40"/>
      <c r="C41" s="27"/>
      <c r="D41" s="27"/>
      <c r="E41" s="28"/>
    </row>
    <row r="42" spans="1:5" x14ac:dyDescent="0.2">
      <c r="A42" s="139" t="s">
        <v>88</v>
      </c>
      <c r="B42" s="41"/>
      <c r="C42" s="30"/>
      <c r="D42" s="30"/>
      <c r="E42" s="31"/>
    </row>
    <row r="43" spans="1:5" x14ac:dyDescent="0.2">
      <c r="A43" s="4" t="s">
        <v>14</v>
      </c>
      <c r="B43" s="42"/>
      <c r="C43" s="5"/>
      <c r="D43" s="6"/>
      <c r="E43" s="7"/>
    </row>
    <row r="44" spans="1:5" x14ac:dyDescent="0.2">
      <c r="A44" s="32" t="s">
        <v>60</v>
      </c>
      <c r="B44" s="43"/>
      <c r="C44" s="35"/>
      <c r="D44" s="149"/>
      <c r="E44" s="150"/>
    </row>
    <row r="45" spans="1:5" ht="38.25" x14ac:dyDescent="0.2">
      <c r="A45" s="9" t="s">
        <v>16</v>
      </c>
      <c r="B45" s="10"/>
      <c r="C45" s="10" t="s">
        <v>15</v>
      </c>
      <c r="D45" s="154"/>
      <c r="E45" s="151"/>
    </row>
    <row r="46" spans="1:5" x14ac:dyDescent="0.2">
      <c r="A46" s="148">
        <v>79.8</v>
      </c>
      <c r="B46" s="18"/>
      <c r="C46" s="18">
        <v>1700</v>
      </c>
      <c r="D46" s="152" t="s">
        <v>87</v>
      </c>
      <c r="E46" s="153"/>
    </row>
    <row r="47" spans="1:5" x14ac:dyDescent="0.2">
      <c r="A47" s="148">
        <v>79.8</v>
      </c>
      <c r="B47" s="18"/>
      <c r="C47" s="18">
        <v>1890</v>
      </c>
      <c r="D47" s="152"/>
      <c r="E47" s="153"/>
    </row>
    <row r="48" spans="1:5" x14ac:dyDescent="0.2">
      <c r="A48" s="146">
        <v>82.7</v>
      </c>
      <c r="B48" s="147"/>
      <c r="C48" s="147">
        <v>2500</v>
      </c>
      <c r="D48" s="154"/>
      <c r="E48" s="153"/>
    </row>
    <row r="49" spans="1:7" x14ac:dyDescent="0.2">
      <c r="A49" s="146">
        <v>88.5</v>
      </c>
      <c r="B49" s="147"/>
      <c r="C49" s="147">
        <v>3000</v>
      </c>
      <c r="D49" s="154"/>
      <c r="E49" s="153"/>
    </row>
    <row r="50" spans="1:7" x14ac:dyDescent="0.2">
      <c r="A50" s="146">
        <v>92</v>
      </c>
      <c r="B50" s="147"/>
      <c r="C50" s="147">
        <v>3000</v>
      </c>
      <c r="D50" s="154" t="s">
        <v>85</v>
      </c>
      <c r="E50" s="153"/>
    </row>
    <row r="51" spans="1:7" x14ac:dyDescent="0.2">
      <c r="A51" s="22">
        <v>92</v>
      </c>
      <c r="B51" s="23"/>
      <c r="C51" s="23">
        <v>1700</v>
      </c>
      <c r="D51" s="155" t="s">
        <v>86</v>
      </c>
      <c r="E51" s="156"/>
    </row>
    <row r="53" spans="1:7" x14ac:dyDescent="0.2">
      <c r="F53" s="2"/>
      <c r="G53" s="2"/>
    </row>
    <row r="64" spans="1:7" x14ac:dyDescent="0.2">
      <c r="F64" s="2"/>
      <c r="G64" s="2"/>
    </row>
    <row r="65" spans="6:7" x14ac:dyDescent="0.2">
      <c r="F65" s="2"/>
      <c r="G65" s="2"/>
    </row>
  </sheetData>
  <sheetProtection algorithmName="SHA-512" hashValue="/eytWa8Ot8wmYxwQHPp0e6mIvCAEzuvswJqvp85o+6i+M5Nxpuvv+iHl5kWTtl4PTki9NsvTFe6WpPvVAranFw==" saltValue="PoY2+Zf0o/86UFkc1HCiVQ==" spinCount="100000" sheet="1" objects="1" scenarios="1"/>
  <pageMargins left="0.75" right="0.75" top="1" bottom="1" header="0.5" footer="0.5"/>
  <pageSetup scale="83" orientation="landscape" horizontalDpi="4294967293" r:id="rId1"/>
  <headerFooter alignWithMargins="0">
    <oddFooter>&amp;LPrinted on &amp;D &amp;T&amp;RPIC must confirm accuracy of data with official aircraft documentation.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99C40-746D-4EC5-8057-99972771669B}">
  <dimension ref="B1:E15"/>
  <sheetViews>
    <sheetView workbookViewId="0">
      <selection activeCell="G18" sqref="G18"/>
    </sheetView>
  </sheetViews>
  <sheetFormatPr defaultRowHeight="12.75" x14ac:dyDescent="0.2"/>
  <cols>
    <col min="2" max="2" width="19" customWidth="1"/>
    <col min="3" max="3" width="10.28515625" bestFit="1" customWidth="1"/>
    <col min="4" max="4" width="9.42578125" bestFit="1" customWidth="1"/>
    <col min="5" max="5" width="12.28515625" bestFit="1" customWidth="1"/>
    <col min="6" max="6" width="19.140625" customWidth="1"/>
  </cols>
  <sheetData>
    <row r="1" spans="2:5" x14ac:dyDescent="0.2">
      <c r="B1" t="s">
        <v>76</v>
      </c>
    </row>
    <row r="3" spans="2:5" x14ac:dyDescent="0.2">
      <c r="C3" s="90" t="s">
        <v>77</v>
      </c>
      <c r="D3" s="90" t="s">
        <v>70</v>
      </c>
      <c r="E3" s="90" t="s">
        <v>5</v>
      </c>
    </row>
    <row r="4" spans="2:5" x14ac:dyDescent="0.2">
      <c r="B4" t="s">
        <v>73</v>
      </c>
      <c r="C4" s="129">
        <v>824</v>
      </c>
      <c r="D4" s="128">
        <v>109.6</v>
      </c>
      <c r="E4" s="128">
        <f>C4*D4</f>
        <v>90310.399999999994</v>
      </c>
    </row>
    <row r="5" spans="2:5" x14ac:dyDescent="0.2">
      <c r="B5" t="s">
        <v>74</v>
      </c>
      <c r="C5" s="129">
        <v>817</v>
      </c>
      <c r="D5" s="128">
        <v>109.6</v>
      </c>
      <c r="E5" s="128">
        <f>C5*D5</f>
        <v>89543.2</v>
      </c>
    </row>
    <row r="6" spans="2:5" x14ac:dyDescent="0.2">
      <c r="B6" t="s">
        <v>75</v>
      </c>
      <c r="C6" s="129">
        <v>648</v>
      </c>
      <c r="D6" s="128">
        <v>32</v>
      </c>
      <c r="E6" s="128">
        <f>C6*D6</f>
        <v>20736</v>
      </c>
    </row>
    <row r="7" spans="2:5" x14ac:dyDescent="0.2">
      <c r="B7" s="3" t="s">
        <v>72</v>
      </c>
      <c r="C7" s="131">
        <f>SUM(C4:C6)</f>
        <v>2289</v>
      </c>
      <c r="D7" s="133">
        <f>E7/C7</f>
        <v>87.631979030144151</v>
      </c>
      <c r="E7" s="132">
        <f>SUM(E4:E6)</f>
        <v>200589.59999999998</v>
      </c>
    </row>
    <row r="8" spans="2:5" x14ac:dyDescent="0.2">
      <c r="C8" s="129"/>
      <c r="D8" s="128"/>
      <c r="E8" s="128"/>
    </row>
    <row r="9" spans="2:5" x14ac:dyDescent="0.2">
      <c r="B9" s="78" t="s">
        <v>78</v>
      </c>
      <c r="C9" s="129">
        <v>-432</v>
      </c>
      <c r="D9" s="128">
        <v>95</v>
      </c>
      <c r="E9" s="128">
        <f>C9*D9</f>
        <v>-41040</v>
      </c>
    </row>
    <row r="10" spans="2:5" x14ac:dyDescent="0.2">
      <c r="B10" s="3" t="s">
        <v>71</v>
      </c>
      <c r="C10" s="131">
        <f>SUM(C9)</f>
        <v>-432</v>
      </c>
      <c r="D10" s="133">
        <f>E10/C10</f>
        <v>95</v>
      </c>
      <c r="E10" s="131">
        <f>SUM(E9)</f>
        <v>-41040</v>
      </c>
    </row>
    <row r="11" spans="2:5" x14ac:dyDescent="0.2">
      <c r="C11" s="129"/>
      <c r="D11" s="128"/>
      <c r="E11" s="128"/>
    </row>
    <row r="12" spans="2:5" x14ac:dyDescent="0.2">
      <c r="B12" s="78" t="s">
        <v>79</v>
      </c>
      <c r="C12" s="134">
        <f>C10+C7</f>
        <v>1857</v>
      </c>
      <c r="D12" s="136">
        <f>E12/C12</f>
        <v>85.917932148626804</v>
      </c>
      <c r="E12" s="134">
        <f>E10+E7</f>
        <v>159549.59999999998</v>
      </c>
    </row>
    <row r="13" spans="2:5" x14ac:dyDescent="0.2">
      <c r="C13" s="129"/>
      <c r="D13" s="128"/>
      <c r="E13" s="128"/>
    </row>
    <row r="14" spans="2:5" x14ac:dyDescent="0.2">
      <c r="C14" s="129"/>
      <c r="D14" s="137" t="s">
        <v>81</v>
      </c>
      <c r="E14" s="128"/>
    </row>
    <row r="15" spans="2:5" x14ac:dyDescent="0.2">
      <c r="C15" s="130"/>
      <c r="D15" s="138" t="s">
        <v>80</v>
      </c>
      <c r="E15" s="127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56"/>
  <sheetViews>
    <sheetView showGridLines="0" zoomScaleNormal="100" workbookViewId="0"/>
  </sheetViews>
  <sheetFormatPr defaultRowHeight="12.75" x14ac:dyDescent="0.2"/>
  <cols>
    <col min="1" max="1" width="23.5703125" customWidth="1"/>
    <col min="2" max="2" width="4.42578125" customWidth="1"/>
    <col min="3" max="3" width="13.7109375" customWidth="1"/>
    <col min="4" max="4" width="12.7109375" customWidth="1"/>
    <col min="5" max="5" width="10.140625" bestFit="1" customWidth="1"/>
    <col min="6" max="6" width="1.140625" customWidth="1"/>
    <col min="7" max="7" width="39.7109375" customWidth="1"/>
    <col min="9" max="10" width="11.5703125" customWidth="1"/>
  </cols>
  <sheetData>
    <row r="1" spans="1:14" s="56" customFormat="1" ht="23.25" x14ac:dyDescent="0.35">
      <c r="A1" s="56" t="s">
        <v>22</v>
      </c>
      <c r="H1" s="80" t="str">
        <f>Menu!$B$1</f>
        <v>Last Rev: June 2, 2023</v>
      </c>
    </row>
    <row r="2" spans="1:14" s="45" customFormat="1" ht="20.25" x14ac:dyDescent="0.3">
      <c r="A2" s="45" t="s">
        <v>24</v>
      </c>
      <c r="H2" s="59"/>
    </row>
    <row r="3" spans="1:14" x14ac:dyDescent="0.2">
      <c r="A3" t="s">
        <v>23</v>
      </c>
    </row>
    <row r="4" spans="1:14" x14ac:dyDescent="0.2">
      <c r="A4" s="61" t="s">
        <v>53</v>
      </c>
      <c r="B4" s="61"/>
      <c r="C4" s="62" t="s">
        <v>8</v>
      </c>
      <c r="D4" s="62" t="s">
        <v>0</v>
      </c>
      <c r="E4" s="62" t="s">
        <v>5</v>
      </c>
      <c r="F4" s="62"/>
      <c r="G4" s="63" t="s">
        <v>21</v>
      </c>
      <c r="I4" s="39"/>
    </row>
    <row r="5" spans="1:14" x14ac:dyDescent="0.2">
      <c r="A5" s="64" t="s">
        <v>4</v>
      </c>
      <c r="B5" s="64"/>
      <c r="C5" s="82">
        <v>1799.03</v>
      </c>
      <c r="D5" s="83">
        <f>E5/C5</f>
        <v>37.169824850058092</v>
      </c>
      <c r="E5" s="82">
        <v>66869.63</v>
      </c>
      <c r="F5" s="88">
        <f>E5/1000</f>
        <v>66.869630000000001</v>
      </c>
      <c r="G5" s="67" t="s">
        <v>69</v>
      </c>
      <c r="I5" s="3"/>
    </row>
    <row r="6" spans="1:14" x14ac:dyDescent="0.2">
      <c r="A6" s="64" t="s">
        <v>6</v>
      </c>
      <c r="B6" s="64"/>
      <c r="C6" s="66">
        <f>C7-C5</f>
        <v>1310.97</v>
      </c>
      <c r="D6" s="65"/>
      <c r="E6" s="66"/>
      <c r="F6" s="89"/>
      <c r="G6" s="121"/>
      <c r="I6" s="3"/>
      <c r="M6" s="78"/>
      <c r="N6" s="78"/>
    </row>
    <row r="7" spans="1:14" x14ac:dyDescent="0.2">
      <c r="A7" s="64" t="s">
        <v>64</v>
      </c>
      <c r="B7" s="64"/>
      <c r="C7" s="66">
        <v>3110</v>
      </c>
      <c r="D7" s="65"/>
      <c r="E7" s="66"/>
      <c r="F7" s="88"/>
      <c r="G7" s="68" t="s">
        <v>65</v>
      </c>
      <c r="I7" s="3"/>
    </row>
    <row r="8" spans="1:14" x14ac:dyDescent="0.2">
      <c r="A8" s="64" t="s">
        <v>45</v>
      </c>
      <c r="B8" s="64"/>
      <c r="C8" s="66">
        <v>2950</v>
      </c>
      <c r="D8" s="65"/>
      <c r="E8" s="66"/>
      <c r="F8" s="88"/>
      <c r="G8" s="68"/>
      <c r="I8" s="3"/>
    </row>
    <row r="9" spans="1:14" x14ac:dyDescent="0.2">
      <c r="A9" s="64"/>
      <c r="B9" s="64"/>
      <c r="C9" s="66"/>
      <c r="D9" s="65"/>
      <c r="E9" s="66"/>
      <c r="F9" s="88"/>
      <c r="G9" s="69"/>
    </row>
    <row r="10" spans="1:14" x14ac:dyDescent="0.2">
      <c r="A10" s="64" t="s">
        <v>1</v>
      </c>
      <c r="B10" s="64"/>
      <c r="C10" s="79">
        <v>200</v>
      </c>
      <c r="D10" s="65">
        <v>37</v>
      </c>
      <c r="E10" s="66">
        <f t="shared" ref="E10:E15" si="0">D10*C10</f>
        <v>7400</v>
      </c>
      <c r="F10" s="88">
        <f t="shared" ref="F10:F17" si="1">E10/1000</f>
        <v>7.4</v>
      </c>
      <c r="G10" s="69"/>
    </row>
    <row r="11" spans="1:14" x14ac:dyDescent="0.2">
      <c r="A11" s="64" t="s">
        <v>2</v>
      </c>
      <c r="B11" s="64"/>
      <c r="C11" s="79">
        <v>130</v>
      </c>
      <c r="D11" s="65">
        <v>74</v>
      </c>
      <c r="E11" s="66">
        <f t="shared" si="0"/>
        <v>9620</v>
      </c>
      <c r="F11" s="88">
        <f t="shared" si="1"/>
        <v>9.6199999999999992</v>
      </c>
      <c r="G11" s="69"/>
    </row>
    <row r="12" spans="1:14" x14ac:dyDescent="0.2">
      <c r="A12" s="64" t="s">
        <v>26</v>
      </c>
      <c r="B12" s="64"/>
      <c r="C12" s="79">
        <v>25</v>
      </c>
      <c r="D12" s="65">
        <v>97</v>
      </c>
      <c r="E12" s="66">
        <f t="shared" si="0"/>
        <v>2425</v>
      </c>
      <c r="F12" s="88">
        <f t="shared" si="1"/>
        <v>2.4249999999999998</v>
      </c>
      <c r="G12" s="69" t="str">
        <f>IF(C12+C13+C14&gt;120,"Total baggage weight can't exceed 120 lbs","ok")</f>
        <v>ok</v>
      </c>
    </row>
    <row r="13" spans="1:14" x14ac:dyDescent="0.2">
      <c r="A13" s="64" t="s">
        <v>27</v>
      </c>
      <c r="B13" s="64"/>
      <c r="C13" s="79">
        <v>10</v>
      </c>
      <c r="D13" s="65">
        <v>116</v>
      </c>
      <c r="E13" s="66">
        <f t="shared" si="0"/>
        <v>1160</v>
      </c>
      <c r="F13" s="88">
        <f t="shared" si="1"/>
        <v>1.1599999999999999</v>
      </c>
      <c r="G13" s="69" t="str">
        <f>IF(C13+C14&gt;80,"Area B+C weight can not exceed 80 lbs","ok")</f>
        <v>ok</v>
      </c>
    </row>
    <row r="14" spans="1:14" x14ac:dyDescent="0.2">
      <c r="A14" s="64" t="s">
        <v>57</v>
      </c>
      <c r="B14" s="64"/>
      <c r="C14" s="79">
        <v>0</v>
      </c>
      <c r="D14" s="65">
        <v>129</v>
      </c>
      <c r="E14" s="66">
        <f t="shared" si="0"/>
        <v>0</v>
      </c>
      <c r="F14" s="88">
        <f t="shared" si="1"/>
        <v>0</v>
      </c>
      <c r="G14" s="69"/>
    </row>
    <row r="15" spans="1:14" x14ac:dyDescent="0.2">
      <c r="A15" s="64" t="s">
        <v>20</v>
      </c>
      <c r="B15" s="46">
        <v>88</v>
      </c>
      <c r="C15" s="66">
        <f>B15*6</f>
        <v>528</v>
      </c>
      <c r="D15" s="65">
        <v>46.5</v>
      </c>
      <c r="E15" s="66">
        <f t="shared" si="0"/>
        <v>24552</v>
      </c>
      <c r="F15" s="88">
        <f t="shared" si="1"/>
        <v>24.552</v>
      </c>
      <c r="G15" s="69" t="str">
        <f>IF(B15&gt;88,"Usable fuel can not exceed 88 gals","ok")</f>
        <v>ok</v>
      </c>
    </row>
    <row r="16" spans="1:14" x14ac:dyDescent="0.2">
      <c r="A16" s="64"/>
      <c r="B16" s="64"/>
      <c r="C16" s="66"/>
      <c r="D16" s="65"/>
      <c r="E16" s="66"/>
      <c r="F16" s="88">
        <f t="shared" si="1"/>
        <v>0</v>
      </c>
      <c r="G16" s="69"/>
    </row>
    <row r="17" spans="1:7" x14ac:dyDescent="0.2">
      <c r="A17" s="67" t="s">
        <v>44</v>
      </c>
      <c r="B17" s="67"/>
      <c r="C17" s="71">
        <f>SUM(C10:C16)+C5</f>
        <v>2692.0299999999997</v>
      </c>
      <c r="D17" s="70">
        <f>E17/C17</f>
        <v>41.614183348625396</v>
      </c>
      <c r="E17" s="71">
        <f>SUM(E5:E16)</f>
        <v>112026.63</v>
      </c>
      <c r="F17" s="88">
        <f t="shared" si="1"/>
        <v>112.02663000000001</v>
      </c>
      <c r="G17" s="69" t="str">
        <f>IF(C17&gt;3100,CONCATENATE("Max T/O weight exceeded by about ", ROUNDUP(C17-3100,0), " lbs"),"ok")</f>
        <v>ok</v>
      </c>
    </row>
    <row r="18" spans="1:7" x14ac:dyDescent="0.2">
      <c r="A18" s="68" t="s">
        <v>47</v>
      </c>
      <c r="B18" s="122">
        <v>15</v>
      </c>
      <c r="C18" s="66"/>
      <c r="D18" s="65"/>
      <c r="E18" s="66"/>
      <c r="F18" s="88">
        <f>E18/1000</f>
        <v>0</v>
      </c>
      <c r="G18" s="69" t="str">
        <f>IF(B18&lt;=B15,"ok","I'm pretty sure trying to burn more fuel than what's in the tank won't end well.")</f>
        <v>ok</v>
      </c>
    </row>
    <row r="19" spans="1:7" x14ac:dyDescent="0.2">
      <c r="A19" s="67" t="s">
        <v>48</v>
      </c>
      <c r="B19" s="67"/>
      <c r="C19" s="71">
        <f>C17-(B18*6)</f>
        <v>2602.0299999999997</v>
      </c>
      <c r="D19" s="70">
        <f>E19/C19</f>
        <v>41.445190870205195</v>
      </c>
      <c r="E19" s="71">
        <f>E17-(B18*6*D15)</f>
        <v>107841.63</v>
      </c>
      <c r="F19" s="88">
        <f>E19/1000</f>
        <v>107.84163000000001</v>
      </c>
      <c r="G19" s="69" t="str">
        <f>IF(C19&lt;=C8,"ok",CONCATENATE("Exceeds ",C8," lbs. ",CHAR(10),"Need to shed ",TEXT((C19-C8)/6,"0.0")," more gals (",TEXT((C19-C8),"0.0")," lbs) before landing"))</f>
        <v>ok</v>
      </c>
    </row>
    <row r="20" spans="1:7" x14ac:dyDescent="0.2">
      <c r="C20" s="1"/>
      <c r="E20" s="1"/>
    </row>
    <row r="21" spans="1:7" x14ac:dyDescent="0.2">
      <c r="C21" s="1"/>
      <c r="E21" s="1"/>
    </row>
    <row r="24" spans="1:7" s="2" customFormat="1" x14ac:dyDescent="0.2"/>
    <row r="34" spans="1:11" s="2" customFormat="1" x14ac:dyDescent="0.2"/>
    <row r="35" spans="1:11" s="2" customFormat="1" x14ac:dyDescent="0.2"/>
    <row r="44" spans="1:11" x14ac:dyDescent="0.2">
      <c r="A44" s="26" t="s">
        <v>17</v>
      </c>
      <c r="B44" s="40"/>
      <c r="C44" s="27"/>
      <c r="D44" s="27"/>
      <c r="E44" s="28"/>
      <c r="G44" s="26" t="s">
        <v>17</v>
      </c>
      <c r="H44" s="40"/>
      <c r="I44" s="27"/>
      <c r="J44" s="27"/>
      <c r="K44" s="28"/>
    </row>
    <row r="45" spans="1:11" x14ac:dyDescent="0.2">
      <c r="A45" s="29" t="s">
        <v>54</v>
      </c>
      <c r="B45" s="41"/>
      <c r="C45" s="30"/>
      <c r="D45" s="30"/>
      <c r="E45" s="31"/>
      <c r="G45" s="29" t="s">
        <v>55</v>
      </c>
      <c r="H45" s="41"/>
      <c r="I45" s="30"/>
      <c r="J45" s="30"/>
      <c r="K45" s="31"/>
    </row>
    <row r="46" spans="1:11" x14ac:dyDescent="0.2">
      <c r="A46" s="4" t="s">
        <v>11</v>
      </c>
      <c r="B46" s="42"/>
      <c r="C46" s="5"/>
      <c r="D46" s="6"/>
      <c r="E46" s="7"/>
      <c r="G46" s="4" t="s">
        <v>14</v>
      </c>
      <c r="H46" s="42"/>
      <c r="I46" s="5"/>
      <c r="J46" s="6"/>
      <c r="K46" s="7"/>
    </row>
    <row r="47" spans="1:11" x14ac:dyDescent="0.2">
      <c r="A47" s="32" t="s">
        <v>58</v>
      </c>
      <c r="B47" s="43"/>
      <c r="C47" s="33"/>
      <c r="D47" s="36" t="s">
        <v>59</v>
      </c>
      <c r="E47" s="34"/>
      <c r="G47" s="32" t="s">
        <v>58</v>
      </c>
      <c r="H47" s="43"/>
      <c r="I47" s="35"/>
      <c r="J47" s="36" t="s">
        <v>59</v>
      </c>
      <c r="K47" s="37"/>
    </row>
    <row r="48" spans="1:11" ht="38.25" x14ac:dyDescent="0.2">
      <c r="A48" s="109" t="s">
        <v>10</v>
      </c>
      <c r="B48" s="110"/>
      <c r="C48" s="110" t="s">
        <v>9</v>
      </c>
      <c r="D48" s="111" t="s">
        <v>10</v>
      </c>
      <c r="E48" s="112" t="s">
        <v>9</v>
      </c>
      <c r="F48" s="90"/>
      <c r="G48" s="109" t="s">
        <v>10</v>
      </c>
      <c r="H48" s="10"/>
      <c r="I48" s="110" t="s">
        <v>9</v>
      </c>
      <c r="J48" s="111" t="s">
        <v>10</v>
      </c>
      <c r="K48" s="112" t="s">
        <v>9</v>
      </c>
    </row>
    <row r="49" spans="1:11" x14ac:dyDescent="0.2">
      <c r="A49" s="91">
        <v>59</v>
      </c>
      <c r="B49" s="92"/>
      <c r="C49" s="93">
        <v>1800</v>
      </c>
      <c r="D49" s="94"/>
      <c r="E49" s="95"/>
      <c r="F49" s="90">
        <v>1800</v>
      </c>
      <c r="G49" s="96">
        <v>33</v>
      </c>
      <c r="H49" s="10"/>
      <c r="I49" s="10">
        <v>1800</v>
      </c>
      <c r="J49" s="94"/>
      <c r="K49" s="12"/>
    </row>
    <row r="50" spans="1:11" x14ac:dyDescent="0.2">
      <c r="A50" s="91">
        <v>74</v>
      </c>
      <c r="B50" s="92"/>
      <c r="C50" s="93">
        <v>2260</v>
      </c>
      <c r="D50" s="94">
        <f>A51</f>
        <v>116.5</v>
      </c>
      <c r="E50" s="95">
        <f>C51</f>
        <v>2950</v>
      </c>
      <c r="F50" s="90">
        <v>2260</v>
      </c>
      <c r="G50" s="97">
        <v>33</v>
      </c>
      <c r="H50" s="93"/>
      <c r="I50" s="93">
        <v>2250</v>
      </c>
      <c r="J50" s="98">
        <f>G51</f>
        <v>39.5</v>
      </c>
      <c r="K50" s="95">
        <f>I51</f>
        <v>2950</v>
      </c>
    </row>
    <row r="51" spans="1:11" x14ac:dyDescent="0.2">
      <c r="A51" s="113">
        <v>116.5</v>
      </c>
      <c r="B51" s="114"/>
      <c r="C51" s="115">
        <v>2950</v>
      </c>
      <c r="D51" s="118">
        <v>127</v>
      </c>
      <c r="E51" s="117">
        <v>3100</v>
      </c>
      <c r="F51" s="90">
        <v>2950</v>
      </c>
      <c r="G51" s="119">
        <v>39.5</v>
      </c>
      <c r="H51" s="115"/>
      <c r="I51" s="115">
        <v>2950</v>
      </c>
      <c r="J51" s="116">
        <v>40.9</v>
      </c>
      <c r="K51" s="117">
        <v>3100</v>
      </c>
    </row>
    <row r="52" spans="1:11" x14ac:dyDescent="0.2">
      <c r="A52" s="113">
        <v>136</v>
      </c>
      <c r="B52" s="114"/>
      <c r="C52" s="115">
        <v>2950</v>
      </c>
      <c r="D52" s="116">
        <v>142.5</v>
      </c>
      <c r="E52" s="117">
        <v>3100</v>
      </c>
      <c r="F52" s="90">
        <v>2950</v>
      </c>
      <c r="G52" s="119">
        <v>46</v>
      </c>
      <c r="H52" s="115"/>
      <c r="I52" s="115">
        <v>2950</v>
      </c>
      <c r="J52" s="116">
        <v>46</v>
      </c>
      <c r="K52" s="117">
        <v>3100</v>
      </c>
    </row>
    <row r="53" spans="1:11" x14ac:dyDescent="0.2">
      <c r="A53" s="91">
        <v>82.5</v>
      </c>
      <c r="B53" s="92"/>
      <c r="C53" s="93">
        <v>1800</v>
      </c>
      <c r="D53" s="94">
        <f>A52</f>
        <v>136</v>
      </c>
      <c r="E53" s="95">
        <f>C52</f>
        <v>2950</v>
      </c>
      <c r="F53" s="90">
        <v>1800</v>
      </c>
      <c r="G53" s="97">
        <v>46</v>
      </c>
      <c r="H53" s="93"/>
      <c r="I53" s="93">
        <v>1800</v>
      </c>
      <c r="J53" s="99">
        <f>G52</f>
        <v>46</v>
      </c>
      <c r="K53" s="95">
        <f>I52</f>
        <v>2950</v>
      </c>
    </row>
    <row r="54" spans="1:11" x14ac:dyDescent="0.2">
      <c r="A54" s="100"/>
      <c r="B54" s="101"/>
      <c r="C54" s="102"/>
      <c r="D54" s="103"/>
      <c r="E54" s="104"/>
      <c r="F54" s="105"/>
      <c r="G54" s="106"/>
      <c r="H54" s="102"/>
      <c r="I54" s="102"/>
      <c r="J54" s="107"/>
      <c r="K54" s="108"/>
    </row>
    <row r="56" spans="1:11" x14ac:dyDescent="0.2">
      <c r="F56" s="2"/>
      <c r="G56" s="2"/>
    </row>
  </sheetData>
  <sheetProtection algorithmName="SHA-512" hashValue="wdNEeIVoug1rdosAII6T8lH5Jq+JYQ9hbMwbteCURWmQntN2fIPVd/mvNd7o4FKScyvqnrRgTPxZZqsYzrx3Kg==" saltValue="DdBGSSiCkEkhxkKJkU3ffA==" spinCount="100000" sheet="1" objects="1" scenarios="1"/>
  <pageMargins left="0.75" right="0.75" top="1" bottom="1" header="0.5" footer="0.5"/>
  <pageSetup scale="83" orientation="landscape" horizontalDpi="4294967293" r:id="rId1"/>
  <headerFooter alignWithMargins="0">
    <oddFooter>&amp;LPrinted on &amp;D &amp;T&amp;RPIC must confirm accuracy of data with official aircraft documentation.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C26"/>
  <sheetViews>
    <sheetView workbookViewId="0">
      <selection activeCell="B5" sqref="B5"/>
    </sheetView>
  </sheetViews>
  <sheetFormatPr defaultColWidth="8.85546875" defaultRowHeight="12.75" x14ac:dyDescent="0.2"/>
  <cols>
    <col min="1" max="1" width="16" style="51" customWidth="1"/>
    <col min="2" max="2" width="87" customWidth="1"/>
  </cols>
  <sheetData>
    <row r="2" spans="1:3" x14ac:dyDescent="0.2">
      <c r="A2" s="74" t="s">
        <v>35</v>
      </c>
    </row>
    <row r="3" spans="1:3" x14ac:dyDescent="0.2">
      <c r="A3" s="74"/>
    </row>
    <row r="4" spans="1:3" ht="13.5" thickBot="1" x14ac:dyDescent="0.25">
      <c r="A4" s="75" t="s">
        <v>30</v>
      </c>
      <c r="B4" s="76" t="s">
        <v>31</v>
      </c>
      <c r="C4" s="76"/>
    </row>
    <row r="5" spans="1:3" ht="13.5" thickTop="1" x14ac:dyDescent="0.2">
      <c r="A5" s="87">
        <v>45079</v>
      </c>
      <c r="B5" s="157" t="s">
        <v>93</v>
      </c>
      <c r="C5" s="120"/>
    </row>
    <row r="6" spans="1:3" ht="25.5" x14ac:dyDescent="0.2">
      <c r="A6" s="87">
        <v>45071</v>
      </c>
      <c r="B6" s="157" t="s">
        <v>90</v>
      </c>
      <c r="C6" s="120"/>
    </row>
    <row r="7" spans="1:3" x14ac:dyDescent="0.2">
      <c r="A7" s="87">
        <v>44643</v>
      </c>
      <c r="B7" s="78" t="s">
        <v>68</v>
      </c>
      <c r="C7" s="120"/>
    </row>
    <row r="8" spans="1:3" x14ac:dyDescent="0.2">
      <c r="A8" s="87">
        <v>44282</v>
      </c>
      <c r="B8" s="78" t="s">
        <v>67</v>
      </c>
      <c r="C8" s="120"/>
    </row>
    <row r="9" spans="1:3" x14ac:dyDescent="0.2">
      <c r="A9" s="87">
        <v>44281</v>
      </c>
      <c r="B9" s="78" t="s">
        <v>66</v>
      </c>
      <c r="C9" s="120"/>
    </row>
    <row r="10" spans="1:3" x14ac:dyDescent="0.2">
      <c r="A10" s="87">
        <v>44226</v>
      </c>
      <c r="B10" s="78" t="s">
        <v>56</v>
      </c>
      <c r="C10" s="120" t="s">
        <v>61</v>
      </c>
    </row>
    <row r="11" spans="1:3" x14ac:dyDescent="0.2">
      <c r="A11" s="87"/>
      <c r="B11" s="78" t="s">
        <v>62</v>
      </c>
      <c r="C11" s="120"/>
    </row>
    <row r="12" spans="1:3" x14ac:dyDescent="0.2">
      <c r="A12" s="87"/>
      <c r="B12" s="78" t="s">
        <v>63</v>
      </c>
      <c r="C12" s="120"/>
    </row>
    <row r="13" spans="1:3" x14ac:dyDescent="0.2">
      <c r="A13" s="87">
        <v>43486</v>
      </c>
      <c r="B13" s="78" t="s">
        <v>52</v>
      </c>
    </row>
    <row r="14" spans="1:3" x14ac:dyDescent="0.2">
      <c r="A14" s="87">
        <v>43422</v>
      </c>
      <c r="B14" s="78" t="s">
        <v>50</v>
      </c>
    </row>
    <row r="15" spans="1:3" x14ac:dyDescent="0.2">
      <c r="A15" s="52">
        <v>42701</v>
      </c>
      <c r="B15" s="78" t="s">
        <v>49</v>
      </c>
    </row>
    <row r="16" spans="1:3" x14ac:dyDescent="0.2">
      <c r="A16" s="52">
        <v>42694</v>
      </c>
      <c r="B16" s="78" t="s">
        <v>43</v>
      </c>
    </row>
    <row r="17" spans="1:2" x14ac:dyDescent="0.2">
      <c r="B17" s="78" t="s">
        <v>42</v>
      </c>
    </row>
    <row r="18" spans="1:2" x14ac:dyDescent="0.2">
      <c r="A18" s="52">
        <v>42162</v>
      </c>
      <c r="B18" s="78" t="s">
        <v>41</v>
      </c>
    </row>
    <row r="19" spans="1:2" x14ac:dyDescent="0.2">
      <c r="A19" s="52">
        <v>41742</v>
      </c>
      <c r="B19" s="78" t="s">
        <v>40</v>
      </c>
    </row>
    <row r="20" spans="1:2" x14ac:dyDescent="0.2">
      <c r="A20" s="52">
        <v>41189</v>
      </c>
      <c r="B20" s="78" t="s">
        <v>37</v>
      </c>
    </row>
    <row r="21" spans="1:2" x14ac:dyDescent="0.2">
      <c r="B21" s="78" t="s">
        <v>39</v>
      </c>
    </row>
    <row r="22" spans="1:2" x14ac:dyDescent="0.2">
      <c r="A22" s="52">
        <v>41175</v>
      </c>
      <c r="B22" s="78" t="s">
        <v>38</v>
      </c>
    </row>
    <row r="23" spans="1:2" x14ac:dyDescent="0.2">
      <c r="A23" s="52">
        <v>40854</v>
      </c>
      <c r="B23" s="78" t="s">
        <v>36</v>
      </c>
    </row>
    <row r="24" spans="1:2" x14ac:dyDescent="0.2">
      <c r="A24" s="52">
        <v>39627</v>
      </c>
      <c r="B24" t="s">
        <v>32</v>
      </c>
    </row>
    <row r="25" spans="1:2" x14ac:dyDescent="0.2">
      <c r="A25" s="52">
        <v>39570</v>
      </c>
      <c r="B25" t="s">
        <v>33</v>
      </c>
    </row>
    <row r="26" spans="1:2" x14ac:dyDescent="0.2">
      <c r="A26" s="52">
        <v>39035</v>
      </c>
      <c r="B26" t="s">
        <v>34</v>
      </c>
    </row>
  </sheetData>
  <sheetProtection algorithmName="SHA-512" hashValue="RB2dVVLLoNUJ+uMTa4mHI/kb0c/VYITJW7WqccbXQUSRypFf3zzHSyVA02qj9zBNR3nuH2iz0b3mWxjM8HsTSA==" saltValue="qRSF+FYYPHb3MF8ay4GW1w==" spinCount="100000" sheet="1" objects="1" scenarios="1"/>
  <phoneticPr fontId="1" type="noConversion"/>
  <pageMargins left="0.75" right="0.75" top="1" bottom="1" header="0.5" footer="0.5"/>
  <pageSetup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Menu</vt:lpstr>
      <vt:lpstr>N642SP</vt:lpstr>
      <vt:lpstr>N2915M</vt:lpstr>
      <vt:lpstr>N2915M Worksheet</vt:lpstr>
      <vt:lpstr>N9758H</vt:lpstr>
      <vt:lpstr>Change History</vt:lpstr>
      <vt:lpstr>N2915M!Print_Area</vt:lpstr>
      <vt:lpstr>N642SP!Print_Area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2006-11-14T18:48:58Z</cp:lastPrinted>
  <dcterms:created xsi:type="dcterms:W3CDTF">1996-10-14T23:33:28Z</dcterms:created>
  <dcterms:modified xsi:type="dcterms:W3CDTF">2023-06-02T23:49:09Z</dcterms:modified>
</cp:coreProperties>
</file>