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20" yWindow="460" windowWidth="16160" windowHeight="16660" activeTab="0"/>
  </bookViews>
  <sheets>
    <sheet name="Menu" sheetId="1" r:id="rId1"/>
    <sheet name="N642SP" sheetId="2" r:id="rId2"/>
    <sheet name="N263DS" sheetId="3" r:id="rId3"/>
    <sheet name="N736RE" sheetId="4" r:id="rId4"/>
    <sheet name="Change History" sheetId="5" r:id="rId5"/>
  </sheets>
  <definedNames>
    <definedName name="_xlnm.Print_Area" localSheetId="2">'N263DS'!$A$1:$K$40</definedName>
    <definedName name="_xlnm.Print_Area" localSheetId="1">'N642SP'!$A$1:$J$37</definedName>
    <definedName name="_xlnm.Print_Area" localSheetId="3">'N736RE'!$A$1:$K$38</definedName>
  </definedNames>
  <calcPr fullCalcOnLoad="1"/>
</workbook>
</file>

<file path=xl/sharedStrings.xml><?xml version="1.0" encoding="utf-8"?>
<sst xmlns="http://schemas.openxmlformats.org/spreadsheetml/2006/main" count="120" uniqueCount="65">
  <si>
    <t>C.G.</t>
  </si>
  <si>
    <t>Front Passengers</t>
  </si>
  <si>
    <t>Rear Passengers</t>
  </si>
  <si>
    <t>Baggage Area 2</t>
  </si>
  <si>
    <t>Basic Empty Weight</t>
  </si>
  <si>
    <t>Moment</t>
  </si>
  <si>
    <t>Useful Load</t>
  </si>
  <si>
    <t>Max Take Off Weight</t>
  </si>
  <si>
    <t>Weight (lbs)</t>
  </si>
  <si>
    <t>Loaded Weight (lbs)</t>
  </si>
  <si>
    <t>Loaded Moment / 1000</t>
  </si>
  <si>
    <t>Center of Gravity Moment Envelope</t>
  </si>
  <si>
    <t>Normal Category</t>
  </si>
  <si>
    <t>Utility Category</t>
  </si>
  <si>
    <t>Center of Gravity Limits</t>
  </si>
  <si>
    <t>Loaded Airplane Weight (lbs)</t>
  </si>
  <si>
    <t>Airplane CG Location</t>
  </si>
  <si>
    <t>CHART REFERENCE DATA - DO NOT MODIFY</t>
  </si>
  <si>
    <t>Data obtained from pages 6-15 and 6-16 in the 172S Skyhawk Information manual</t>
  </si>
  <si>
    <t>Data obtained from pages 6-12 and 6-13 in the 1979 Model R183 Information manual</t>
  </si>
  <si>
    <t>Gals Usable Fuel (53 max)</t>
  </si>
  <si>
    <t>Gals Usable Fuel (88 max)</t>
  </si>
  <si>
    <t>Notes:</t>
  </si>
  <si>
    <t>Blue Sky Aviation Association</t>
  </si>
  <si>
    <t xml:space="preserve"> </t>
  </si>
  <si>
    <t>Weight &amp; Balance Calculator</t>
  </si>
  <si>
    <t>Cessna Skyhawk 172S</t>
  </si>
  <si>
    <t>Cessna Skylane 182RG</t>
  </si>
  <si>
    <t>No utility data published</t>
  </si>
  <si>
    <t>Baggage Area A</t>
  </si>
  <si>
    <t>Baggage Area B</t>
  </si>
  <si>
    <t>Baggage Area 1</t>
  </si>
  <si>
    <t>Select a plane:</t>
  </si>
  <si>
    <t>Date</t>
  </si>
  <si>
    <t>Changes</t>
  </si>
  <si>
    <t>Updated W&amp;B for N736RE after upgrades and new paint (M. Levine)</t>
  </si>
  <si>
    <t>Added W&amp;B tab for N3471R (M. Levine)</t>
  </si>
  <si>
    <t>New!</t>
  </si>
  <si>
    <t>The following changes were made to this spreadsheet:</t>
  </si>
  <si>
    <t>Normal category (Max ramp wt = 3,112 lbs)</t>
  </si>
  <si>
    <t>Removed N3471R, fixed broken links. (M. Levine)</t>
  </si>
  <si>
    <t>Updated N642SP with 5/2/12 W&amp;B - swap of GPS  (M. Levine)</t>
  </si>
  <si>
    <t>Updated N13917M with new re-weigh numbers - New engine (M. Levine)</t>
  </si>
  <si>
    <t>Updated N736RE with 5/17/12 W&amp;B - swap of Nav/com #2 radios  (M. Levine)</t>
  </si>
  <si>
    <t>Updated all three planes after new ELT 406 GPS installation (M. Levine)</t>
  </si>
  <si>
    <t>Updated N642SP after ADS-B installation and autopilot change  (M. Levine)</t>
  </si>
  <si>
    <t>As of W&amp;B sheet dated 4/28/2015</t>
  </si>
  <si>
    <t>Normal category (Max ramp wt = 2,535 lbs)</t>
  </si>
  <si>
    <t>Data obtained from POH - PDF docid 6.0.1.01-E June 26, 2000</t>
  </si>
  <si>
    <t>As of W&amp;B sheet dated 11/9/16</t>
  </si>
  <si>
    <t>Updated N736RE with 11/9/16 W&amp;B - Install GTX345 ABS-B  (M. Levine)</t>
  </si>
  <si>
    <t xml:space="preserve">Add Diamond N263DS using 8/30/16 W&amp;B (M.Levine) </t>
  </si>
  <si>
    <t>Total Take-Off Weight</t>
  </si>
  <si>
    <t>Gals Usable Fuel (40.2 max)</t>
  </si>
  <si>
    <t>Diamond DA-40 N263DS</t>
  </si>
  <si>
    <t>Max Landing Weight</t>
  </si>
  <si>
    <t>Max Take-Off Weight</t>
  </si>
  <si>
    <t>Baggage - Std Compartment</t>
  </si>
  <si>
    <t>Gals fuel burned in flight</t>
  </si>
  <si>
    <t>Baggage - Tube (11 lbs max)</t>
  </si>
  <si>
    <t>Total Landing Weight</t>
  </si>
  <si>
    <t>Remove N3917M</t>
  </si>
  <si>
    <t>Last Rev: Nov. 18, 2018</t>
  </si>
  <si>
    <t>As of W&amp;B sheet dated 8/17/2018</t>
  </si>
  <si>
    <t>Updated N263DS with 8/17/1028 W&amp;B after ADS-B &amp; Flightstream install (S. Timko)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</si>
</sst>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18"/>
      <color indexed="18"/>
      <name val="Arial"/>
      <family val="2"/>
    </font>
    <font>
      <b/>
      <u val="single"/>
      <sz val="16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40"/>
      <name val="Arial"/>
      <family val="2"/>
    </font>
    <font>
      <b/>
      <sz val="16"/>
      <color indexed="60"/>
      <name val="Arial"/>
      <family val="2"/>
    </font>
    <font>
      <sz val="10"/>
      <color indexed="60"/>
      <name val="Arial"/>
      <family val="2"/>
    </font>
    <font>
      <sz val="10"/>
      <color indexed="42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3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.75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B0F0"/>
      <name val="Arial"/>
      <family val="2"/>
    </font>
    <font>
      <b/>
      <sz val="16"/>
      <color rgb="FFC00000"/>
      <name val="Arial"/>
      <family val="2"/>
    </font>
    <font>
      <sz val="10"/>
      <color rgb="FFC00000"/>
      <name val="Arial"/>
      <family val="2"/>
    </font>
    <font>
      <sz val="10"/>
      <color rgb="FFCCFFCC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" fillId="33" borderId="10" xfId="0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 horizontal="right" wrapText="1"/>
    </xf>
    <xf numFmtId="0" fontId="0" fillId="34" borderId="0" xfId="0" applyFill="1" applyBorder="1" applyAlignment="1">
      <alignment horizontal="right" wrapText="1"/>
    </xf>
    <xf numFmtId="0" fontId="0" fillId="35" borderId="0" xfId="0" applyFill="1" applyBorder="1" applyAlignment="1">
      <alignment horizontal="right" wrapText="1"/>
    </xf>
    <xf numFmtId="0" fontId="0" fillId="35" borderId="11" xfId="0" applyFill="1" applyBorder="1" applyAlignment="1">
      <alignment horizontal="right" wrapText="1"/>
    </xf>
    <xf numFmtId="164" fontId="0" fillId="34" borderId="10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4" fillId="36" borderId="15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1" xfId="0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2" fontId="0" fillId="35" borderId="11" xfId="0" applyNumberFormat="1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4" fillId="36" borderId="16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164" fontId="0" fillId="34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Alignment="1">
      <alignment/>
    </xf>
    <xf numFmtId="164" fontId="0" fillId="37" borderId="18" xfId="0" applyNumberFormat="1" applyFill="1" applyBorder="1" applyAlignment="1" applyProtection="1">
      <alignment/>
      <protection locked="0"/>
    </xf>
    <xf numFmtId="0" fontId="0" fillId="37" borderId="18" xfId="0" applyFill="1" applyBorder="1" applyAlignment="1" applyProtection="1">
      <alignment/>
      <protection locked="0"/>
    </xf>
    <xf numFmtId="164" fontId="11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4" fillId="0" borderId="0" xfId="0" applyFont="1" applyFill="1" applyAlignment="1">
      <alignment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6" fillId="0" borderId="0" xfId="0" applyFont="1" applyFill="1" applyAlignment="1">
      <alignment/>
    </xf>
    <xf numFmtId="164" fontId="0" fillId="34" borderId="12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4" fontId="13" fillId="0" borderId="0" xfId="53" applyNumberFormat="1" applyAlignment="1" applyProtection="1">
      <alignment horizontal="left"/>
      <protection/>
    </xf>
    <xf numFmtId="14" fontId="13" fillId="0" borderId="0" xfId="53" applyNumberFormat="1" applyFont="1" applyAlignment="1" applyProtection="1">
      <alignment horizontal="left"/>
      <protection/>
    </xf>
    <xf numFmtId="3" fontId="0" fillId="35" borderId="18" xfId="0" applyNumberForma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38" borderId="18" xfId="0" applyFont="1" applyFill="1" applyBorder="1" applyAlignment="1" applyProtection="1">
      <alignment/>
      <protection/>
    </xf>
    <xf numFmtId="0" fontId="6" fillId="38" borderId="18" xfId="0" applyFont="1" applyFill="1" applyBorder="1" applyAlignment="1" applyProtection="1">
      <alignment horizontal="right"/>
      <protection/>
    </xf>
    <xf numFmtId="0" fontId="6" fillId="38" borderId="18" xfId="0" applyFont="1" applyFill="1" applyBorder="1" applyAlignment="1" applyProtection="1">
      <alignment horizontal="left"/>
      <protection/>
    </xf>
    <xf numFmtId="0" fontId="0" fillId="35" borderId="18" xfId="0" applyFill="1" applyBorder="1" applyAlignment="1" applyProtection="1">
      <alignment/>
      <protection/>
    </xf>
    <xf numFmtId="2" fontId="0" fillId="35" borderId="18" xfId="0" applyNumberFormat="1" applyFill="1" applyBorder="1" applyAlignment="1" applyProtection="1">
      <alignment/>
      <protection/>
    </xf>
    <xf numFmtId="4" fontId="0" fillId="35" borderId="18" xfId="0" applyNumberFormat="1" applyFill="1" applyBorder="1" applyAlignment="1" applyProtection="1">
      <alignment/>
      <protection/>
    </xf>
    <xf numFmtId="0" fontId="3" fillId="35" borderId="18" xfId="0" applyFont="1" applyFill="1" applyBorder="1" applyAlignment="1" applyProtection="1">
      <alignment/>
      <protection/>
    </xf>
    <xf numFmtId="0" fontId="0" fillId="35" borderId="18" xfId="0" applyFont="1" applyFill="1" applyBorder="1" applyAlignment="1" applyProtection="1">
      <alignment/>
      <protection/>
    </xf>
    <xf numFmtId="0" fontId="4" fillId="35" borderId="18" xfId="0" applyFont="1" applyFill="1" applyBorder="1" applyAlignment="1" applyProtection="1">
      <alignment/>
      <protection/>
    </xf>
    <xf numFmtId="2" fontId="3" fillId="35" borderId="18" xfId="0" applyNumberFormat="1" applyFont="1" applyFill="1" applyBorder="1" applyAlignment="1" applyProtection="1">
      <alignment/>
      <protection/>
    </xf>
    <xf numFmtId="4" fontId="3" fillId="35" borderId="18" xfId="0" applyNumberFormat="1" applyFont="1" applyFill="1" applyBorder="1" applyAlignment="1" applyProtection="1">
      <alignment/>
      <protection/>
    </xf>
    <xf numFmtId="0" fontId="4" fillId="35" borderId="18" xfId="0" applyFont="1" applyFill="1" applyBorder="1" applyAlignment="1" applyProtection="1" quotePrefix="1">
      <alignment/>
      <protection/>
    </xf>
    <xf numFmtId="2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5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17" fillId="0" borderId="0" xfId="53" applyFont="1" applyFill="1" applyAlignment="1" applyProtection="1">
      <alignment horizontal="left"/>
      <protection/>
    </xf>
    <xf numFmtId="0" fontId="0" fillId="0" borderId="0" xfId="0" applyFont="1" applyFill="1" applyAlignment="1">
      <alignment/>
    </xf>
    <xf numFmtId="4" fontId="0" fillId="37" borderId="18" xfId="0" applyNumberFormat="1" applyFill="1" applyBorder="1" applyAlignment="1" applyProtection="1">
      <alignment/>
      <protection locked="0"/>
    </xf>
    <xf numFmtId="14" fontId="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4" fontId="67" fillId="35" borderId="18" xfId="0" applyNumberFormat="1" applyFont="1" applyFill="1" applyBorder="1" applyAlignment="1" applyProtection="1">
      <alignment/>
      <protection/>
    </xf>
    <xf numFmtId="2" fontId="67" fillId="35" borderId="18" xfId="0" applyNumberFormat="1" applyFont="1" applyFill="1" applyBorder="1" applyAlignment="1" applyProtection="1">
      <alignment/>
      <protection/>
    </xf>
    <xf numFmtId="4" fontId="67" fillId="37" borderId="18" xfId="0" applyNumberFormat="1" applyFont="1" applyFill="1" applyBorder="1" applyAlignment="1" applyProtection="1">
      <alignment/>
      <protection locked="0"/>
    </xf>
    <xf numFmtId="4" fontId="68" fillId="35" borderId="18" xfId="0" applyNumberFormat="1" applyFont="1" applyFill="1" applyBorder="1" applyAlignment="1" applyProtection="1">
      <alignment/>
      <protection/>
    </xf>
    <xf numFmtId="2" fontId="68" fillId="35" borderId="18" xfId="0" applyNumberFormat="1" applyFont="1" applyFill="1" applyBorder="1" applyAlignment="1" applyProtection="1">
      <alignment/>
      <protection/>
    </xf>
    <xf numFmtId="4" fontId="69" fillId="35" borderId="18" xfId="0" applyNumberFormat="1" applyFont="1" applyFill="1" applyBorder="1" applyAlignment="1" applyProtection="1">
      <alignment/>
      <protection/>
    </xf>
    <xf numFmtId="2" fontId="69" fillId="35" borderId="18" xfId="0" applyNumberFormat="1" applyFont="1" applyFill="1" applyBorder="1" applyAlignment="1" applyProtection="1">
      <alignment/>
      <protection/>
    </xf>
    <xf numFmtId="0" fontId="70" fillId="0" borderId="0" xfId="0" applyFont="1" applyFill="1" applyAlignment="1" applyProtection="1">
      <alignment/>
      <protection/>
    </xf>
    <xf numFmtId="0" fontId="68" fillId="35" borderId="18" xfId="0" applyFont="1" applyFill="1" applyBorder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72" fillId="35" borderId="18" xfId="0" applyFont="1" applyFill="1" applyBorder="1" applyAlignment="1" applyProtection="1">
      <alignment/>
      <protection/>
    </xf>
    <xf numFmtId="0" fontId="72" fillId="39" borderId="18" xfId="0" applyFont="1" applyFill="1" applyBorder="1" applyAlignment="1" applyProtection="1">
      <alignment/>
      <protection/>
    </xf>
    <xf numFmtId="14" fontId="0" fillId="40" borderId="0" xfId="0" applyNumberFormat="1" applyFill="1" applyAlignment="1">
      <alignment horizontal="left"/>
    </xf>
    <xf numFmtId="0" fontId="0" fillId="40" borderId="0" xfId="0" applyFont="1" applyFill="1" applyAlignment="1">
      <alignment/>
    </xf>
    <xf numFmtId="0" fontId="0" fillId="40" borderId="0" xfId="0" applyFill="1" applyAlignment="1">
      <alignment horizontal="left"/>
    </xf>
    <xf numFmtId="0" fontId="4" fillId="35" borderId="18" xfId="0" applyFont="1" applyFill="1" applyBorder="1" applyAlignment="1" applyProtection="1">
      <alignment wrapText="1"/>
      <protection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CG Moment Envelope</a:t>
            </a:r>
          </a:p>
        </c:rich>
      </c:tx>
      <c:layout>
        <c:manualLayout>
          <c:xMode val="factor"/>
          <c:yMode val="factor"/>
          <c:x val="-0.023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8025"/>
          <c:w val="0.919"/>
          <c:h val="0.7225"/>
        </c:manualLayout>
      </c:layout>
      <c:scatterChart>
        <c:scatterStyle val="lineMarker"/>
        <c:varyColors val="0"/>
        <c:ser>
          <c:idx val="0"/>
          <c:order val="0"/>
          <c:tx>
            <c:v>Normal Category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xVal>
            <c:numRef>
              <c:f>'N642SP'!$A$45:$A$49</c:f>
              <c:numCache/>
            </c:numRef>
          </c:xVal>
          <c:yVal>
            <c:numRef>
              <c:f>'N642SP'!$C$45:$C$49</c:f>
              <c:numCache/>
            </c:numRef>
          </c:yVal>
          <c:smooth val="0"/>
        </c:ser>
        <c:ser>
          <c:idx val="1"/>
          <c:order val="1"/>
          <c:tx>
            <c:v>Utility Category</c:v>
          </c:tx>
          <c:spPr>
            <a:ln w="25400">
              <a:solidFill>
                <a:srgbClr val="00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numRef>
              <c:f>'N642SP'!$D$45:$D$49</c:f>
              <c:numCache/>
            </c:numRef>
          </c:xVal>
          <c:yVal>
            <c:numRef>
              <c:f>'N642SP'!$E$45:$E$49</c:f>
              <c:numCache/>
            </c:numRef>
          </c:yVal>
          <c:smooth val="0"/>
        </c:ser>
        <c:ser>
          <c:idx val="2"/>
          <c:order val="2"/>
          <c:tx>
            <c:v>Computed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'N642SP'!$F$15</c:f>
              <c:numCache/>
            </c:numRef>
          </c:xVal>
          <c:yVal>
            <c:numRef>
              <c:f>'N642SP'!$C$15</c:f>
              <c:numCache/>
            </c:numRef>
          </c:yVal>
          <c:smooth val="0"/>
        </c:ser>
        <c:axId val="19519080"/>
        <c:axId val="41453993"/>
      </c:scatterChart>
      <c:valAx>
        <c:axId val="19519080"/>
        <c:scaling>
          <c:orientation val="minMax"/>
          <c:max val="13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Airplane Moment / 1000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53993"/>
        <c:crosses val="autoZero"/>
        <c:crossBetween val="midCat"/>
        <c:dispUnits/>
      </c:valAx>
      <c:valAx>
        <c:axId val="41453993"/>
        <c:scaling>
          <c:orientation val="minMax"/>
          <c:max val="26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Airplane Weight (lbs)</a:t>
                </a:r>
              </a:p>
            </c:rich>
          </c:tx>
          <c:layout>
            <c:manualLayout>
              <c:xMode val="factor"/>
              <c:yMode val="factor"/>
              <c:x val="-0.016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190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"/>
          <c:y val="0.0905"/>
          <c:w val="0.675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CG Limits</a:t>
            </a:r>
          </a:p>
        </c:rich>
      </c:tx>
      <c:layout>
        <c:manualLayout>
          <c:xMode val="factor"/>
          <c:yMode val="factor"/>
          <c:x val="-0.007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815"/>
          <c:w val="0.92275"/>
          <c:h val="0.72175"/>
        </c:manualLayout>
      </c:layout>
      <c:scatterChart>
        <c:scatterStyle val="lineMarker"/>
        <c:varyColors val="0"/>
        <c:ser>
          <c:idx val="0"/>
          <c:order val="0"/>
          <c:tx>
            <c:v>Normal Category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xVal>
            <c:numRef>
              <c:f>'N642SP'!$G$45:$G$49</c:f>
              <c:numCache/>
            </c:numRef>
          </c:xVal>
          <c:yVal>
            <c:numRef>
              <c:f>'N642SP'!$I$45:$I$49</c:f>
              <c:numCache/>
            </c:numRef>
          </c:yVal>
          <c:smooth val="0"/>
        </c:ser>
        <c:ser>
          <c:idx val="1"/>
          <c:order val="1"/>
          <c:tx>
            <c:v>Utility Category</c:v>
          </c:tx>
          <c:spPr>
            <a:ln w="25400">
              <a:solidFill>
                <a:srgbClr val="00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'N642SP'!$J$45:$J$49</c:f>
              <c:numCache/>
            </c:numRef>
          </c:xVal>
          <c:yVal>
            <c:numRef>
              <c:f>'N642SP'!$K$45:$K$49</c:f>
              <c:numCache/>
            </c:numRef>
          </c:yVal>
          <c:smooth val="0"/>
        </c:ser>
        <c:ser>
          <c:idx val="2"/>
          <c:order val="2"/>
          <c:tx>
            <c:v>Computed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'N642SP'!$D$15</c:f>
              <c:numCache/>
            </c:numRef>
          </c:xVal>
          <c:yVal>
            <c:numRef>
              <c:f>'N642SP'!$C$15</c:f>
              <c:numCache/>
            </c:numRef>
          </c:yVal>
          <c:smooth val="0"/>
        </c:ser>
        <c:axId val="37541618"/>
        <c:axId val="2330243"/>
      </c:scatterChart>
      <c:valAx>
        <c:axId val="37541618"/>
        <c:scaling>
          <c:orientation val="minMax"/>
          <c:max val="49"/>
          <c:min val="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Airplane CG Location - Inches aft of datum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0243"/>
        <c:crosses val="autoZero"/>
        <c:crossBetween val="midCat"/>
        <c:dispUnits/>
      </c:valAx>
      <c:valAx>
        <c:axId val="2330243"/>
        <c:scaling>
          <c:orientation val="minMax"/>
          <c:max val="26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Airplane Weight(lbs)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16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325"/>
          <c:y val="0.09425"/>
          <c:w val="0.636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CG Limits</a:t>
            </a:r>
          </a:p>
        </c:rich>
      </c:tx>
      <c:layout>
        <c:manualLayout>
          <c:xMode val="factor"/>
          <c:yMode val="factor"/>
          <c:x val="-0.086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8025"/>
          <c:w val="0.91725"/>
          <c:h val="0.7225"/>
        </c:manualLayout>
      </c:layout>
      <c:scatterChart>
        <c:scatterStyle val="lineMarker"/>
        <c:varyColors val="0"/>
        <c:ser>
          <c:idx val="0"/>
          <c:order val="0"/>
          <c:tx>
            <c:v>Normal Category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xVal>
            <c:numRef>
              <c:f>'N263DS'!$A$47:$A$51</c:f>
              <c:numCache/>
            </c:numRef>
          </c:xVal>
          <c:yVal>
            <c:numRef>
              <c:f>'N263DS'!$C$47:$C$51</c:f>
              <c:numCache/>
            </c:numRef>
          </c:yVal>
          <c:smooth val="0"/>
        </c:ser>
        <c:ser>
          <c:idx val="2"/>
          <c:order val="1"/>
          <c:tx>
            <c:v>Computed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'N263DS'!$D$16</c:f>
              <c:numCache/>
            </c:numRef>
          </c:xVal>
          <c:yVal>
            <c:numRef>
              <c:f>'N263DS'!$C$16</c:f>
              <c:numCache/>
            </c:numRef>
          </c:yVal>
          <c:smooth val="0"/>
        </c:ser>
        <c:axId val="20972188"/>
        <c:axId val="54531965"/>
      </c:scatterChart>
      <c:valAx>
        <c:axId val="20972188"/>
        <c:scaling>
          <c:orientation val="minMax"/>
          <c:max val="103"/>
          <c:min val="9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Airplane CG Location - Inches aft of datum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1965"/>
        <c:crosses val="autoZero"/>
        <c:crossBetween val="midCat"/>
        <c:dispUnits/>
        <c:minorUnit val="0.5"/>
      </c:valAx>
      <c:valAx>
        <c:axId val="54531965"/>
        <c:scaling>
          <c:orientation val="minMax"/>
          <c:max val="2700"/>
          <c:min val="1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Airplane Weight (lbs)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72188"/>
        <c:crosses val="autoZero"/>
        <c:crossBetween val="midCat"/>
        <c:dispUnits/>
        <c:min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65"/>
          <c:y val="0.0905"/>
          <c:w val="0.395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CG Moment Envelope</a:t>
            </a:r>
          </a:p>
        </c:rich>
      </c:tx>
      <c:layout>
        <c:manualLayout>
          <c:xMode val="factor"/>
          <c:yMode val="factor"/>
          <c:x val="-0.023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75"/>
          <c:y val="0.18025"/>
          <c:w val="0.918"/>
          <c:h val="0.7225"/>
        </c:manualLayout>
      </c:layout>
      <c:scatterChart>
        <c:scatterStyle val="lineMarker"/>
        <c:varyColors val="0"/>
        <c:ser>
          <c:idx val="0"/>
          <c:order val="0"/>
          <c:tx>
            <c:v>Normal Category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xVal>
            <c:numRef>
              <c:f>'N736RE'!$A$45:$A$50</c:f>
              <c:numCache/>
            </c:numRef>
          </c:xVal>
          <c:yVal>
            <c:numRef>
              <c:f>'N736RE'!$C$45:$C$50</c:f>
              <c:numCache/>
            </c:numRef>
          </c:yVal>
          <c:smooth val="0"/>
        </c:ser>
        <c:ser>
          <c:idx val="2"/>
          <c:order val="1"/>
          <c:tx>
            <c:v>Computed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'N736RE'!$F$15</c:f>
              <c:numCache/>
            </c:numRef>
          </c:xVal>
          <c:yVal>
            <c:numRef>
              <c:f>'N736RE'!$C$15</c:f>
              <c:numCache/>
            </c:numRef>
          </c:yVal>
          <c:smooth val="0"/>
        </c:ser>
        <c:axId val="21025638"/>
        <c:axId val="55013015"/>
      </c:scatterChart>
      <c:valAx>
        <c:axId val="21025638"/>
        <c:scaling>
          <c:orientation val="minMax"/>
          <c:max val="150"/>
          <c:min val="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Airplane Moment / 1000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3015"/>
        <c:crosses val="autoZero"/>
        <c:crossBetween val="midCat"/>
        <c:dispUnits/>
      </c:valAx>
      <c:valAx>
        <c:axId val="55013015"/>
        <c:scaling>
          <c:orientation val="minMax"/>
          <c:max val="32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Airplane Weight (lbs)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256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925"/>
          <c:y val="0.0905"/>
          <c:w val="0.393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CG Limits</a:t>
            </a:r>
          </a:p>
        </c:rich>
      </c:tx>
      <c:layout>
        <c:manualLayout>
          <c:xMode val="factor"/>
          <c:yMode val="factor"/>
          <c:x val="-0.0047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8175"/>
          <c:w val="0.9225"/>
          <c:h val="0.721"/>
        </c:manualLayout>
      </c:layout>
      <c:scatterChart>
        <c:scatterStyle val="lineMarker"/>
        <c:varyColors val="0"/>
        <c:ser>
          <c:idx val="0"/>
          <c:order val="0"/>
          <c:tx>
            <c:v>Normal Category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xVal>
            <c:numRef>
              <c:f>'N736RE'!$G$45:$G$50</c:f>
              <c:numCache/>
            </c:numRef>
          </c:xVal>
          <c:yVal>
            <c:numRef>
              <c:f>'N736RE'!$I$45:$I$50</c:f>
              <c:numCache/>
            </c:numRef>
          </c:yVal>
          <c:smooth val="0"/>
        </c:ser>
        <c:ser>
          <c:idx val="2"/>
          <c:order val="1"/>
          <c:tx>
            <c:v>Computed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'N736RE'!$D$15</c:f>
              <c:numCache/>
            </c:numRef>
          </c:xVal>
          <c:yVal>
            <c:numRef>
              <c:f>'N736RE'!$C$15</c:f>
              <c:numCache/>
            </c:numRef>
          </c:yVal>
          <c:smooth val="0"/>
        </c:ser>
        <c:axId val="25355088"/>
        <c:axId val="26869201"/>
      </c:scatterChart>
      <c:valAx>
        <c:axId val="25355088"/>
        <c:scaling>
          <c:orientation val="minMax"/>
          <c:max val="48"/>
          <c:min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Airplane CG Location - Inches aft of datum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9201"/>
        <c:crosses val="autoZero"/>
        <c:crossBetween val="midCat"/>
        <c:dispUnits/>
      </c:valAx>
      <c:valAx>
        <c:axId val="26869201"/>
        <c:scaling>
          <c:orientation val="minMax"/>
          <c:max val="32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Airplane Weight(lbs)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550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775"/>
          <c:y val="0.0905"/>
          <c:w val="0.3697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N642SP!C9" /><Relationship Id="rId2" Type="http://schemas.openxmlformats.org/officeDocument/2006/relationships/image" Target="../media/image3.emf" /><Relationship Id="rId3" Type="http://schemas.openxmlformats.org/officeDocument/2006/relationships/hyperlink" Target="http://www.blueskyaa.com/" TargetMode="External" /><Relationship Id="rId4" Type="http://schemas.openxmlformats.org/officeDocument/2006/relationships/hyperlink" Target="#N736RE!A1" /><Relationship Id="rId5" Type="http://schemas.openxmlformats.org/officeDocument/2006/relationships/image" Target="../media/image2.jpeg" /><Relationship Id="rId6" Type="http://schemas.openxmlformats.org/officeDocument/2006/relationships/hyperlink" Target="#N263DS!A1" /><Relationship Id="rId7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Menu!C12" /><Relationship Id="rId4" Type="http://schemas.openxmlformats.org/officeDocument/2006/relationships/hyperlink" Target="http://www.blueskyaa.com/aircraft/skyhawk" TargetMode="External" /><Relationship Id="rId5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hyperlink" Target="#Menu!C12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hyperlink" Target="#Menu!C12" /><Relationship Id="rId4" Type="http://schemas.openxmlformats.org/officeDocument/2006/relationships/hyperlink" Target="http://www.blueskyaa.com/aircraft/skylane" TargetMode="External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16</xdr:row>
      <xdr:rowOff>104775</xdr:rowOff>
    </xdr:from>
    <xdr:to>
      <xdr:col>0</xdr:col>
      <xdr:colOff>6753225</xdr:colOff>
      <xdr:row>28</xdr:row>
      <xdr:rowOff>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390525" y="3162300"/>
          <a:ext cx="6362700" cy="22574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Click on a plane above to select it (or click the appropriate tab at the bottom).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Enter data only in                      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* Front Passenger Weight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* Rear Passenger Weight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* Baggage Area Weight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* Number of usable fuel gallons (weight will be calculated)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Look for red W&amp;B error messages.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Review the C.G. Charts at the bottom.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* Your computed value will appear as a red diamond.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* Ensure that it falls within the normal category limit.</a:t>
          </a:r>
        </a:p>
      </xdr:txBody>
    </xdr:sp>
    <xdr:clientData/>
  </xdr:twoCellAnchor>
  <xdr:twoCellAnchor>
    <xdr:from>
      <xdr:col>0</xdr:col>
      <xdr:colOff>1600200</xdr:colOff>
      <xdr:row>19</xdr:row>
      <xdr:rowOff>28575</xdr:rowOff>
    </xdr:from>
    <xdr:to>
      <xdr:col>0</xdr:col>
      <xdr:colOff>2362200</xdr:colOff>
      <xdr:row>19</xdr:row>
      <xdr:rowOff>190500</xdr:rowOff>
    </xdr:to>
    <xdr:sp>
      <xdr:nvSpPr>
        <xdr:cNvPr id="2" name="Rectangle 17"/>
        <xdr:cNvSpPr>
          <a:spLocks/>
        </xdr:cNvSpPr>
      </xdr:nvSpPr>
      <xdr:spPr>
        <a:xfrm>
          <a:off x="1600200" y="3686175"/>
          <a:ext cx="762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white boxes</a:t>
          </a:r>
        </a:p>
      </xdr:txBody>
    </xdr:sp>
    <xdr:clientData/>
  </xdr:twoCellAnchor>
  <xdr:twoCellAnchor>
    <xdr:from>
      <xdr:col>0</xdr:col>
      <xdr:colOff>333375</xdr:colOff>
      <xdr:row>4</xdr:row>
      <xdr:rowOff>133350</xdr:rowOff>
    </xdr:from>
    <xdr:to>
      <xdr:col>0</xdr:col>
      <xdr:colOff>2352675</xdr:colOff>
      <xdr:row>12</xdr:row>
      <xdr:rowOff>133350</xdr:rowOff>
    </xdr:to>
    <xdr:grpSp>
      <xdr:nvGrpSpPr>
        <xdr:cNvPr id="3" name="Group 22">
          <a:hlinkClick r:id="rId1"/>
        </xdr:cNvPr>
        <xdr:cNvGrpSpPr>
          <a:grpSpLocks/>
        </xdr:cNvGrpSpPr>
      </xdr:nvGrpSpPr>
      <xdr:grpSpPr>
        <a:xfrm>
          <a:off x="333375" y="1143000"/>
          <a:ext cx="2019300" cy="1295400"/>
          <a:chOff x="25" y="123"/>
          <a:chExt cx="212" cy="136"/>
        </a:xfrm>
        <a:solidFill>
          <a:srgbClr val="FFFFFF"/>
        </a:solidFill>
      </xdr:grpSpPr>
      <xdr:sp>
        <xdr:nvSpPr>
          <xdr:cNvPr id="4" name="Rectangle 10"/>
          <xdr:cNvSpPr>
            <a:spLocks/>
          </xdr:cNvSpPr>
        </xdr:nvSpPr>
        <xdr:spPr>
          <a:xfrm>
            <a:off x="25" y="123"/>
            <a:ext cx="212" cy="1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2"/>
          <xdr:cNvSpPr txBox="1">
            <a:spLocks noChangeArrowheads="1"/>
          </xdr:cNvSpPr>
        </xdr:nvSpPr>
        <xdr:spPr>
          <a:xfrm>
            <a:off x="37" y="221"/>
            <a:ext cx="183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Skyhawk N642SP</a:t>
            </a:r>
          </a:p>
        </xdr:txBody>
      </xdr:sp>
      <xdr:pic>
        <xdr:nvPicPr>
          <xdr:cNvPr id="6" name="Picture 2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4" y="140"/>
            <a:ext cx="182" cy="7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200025</xdr:colOff>
      <xdr:row>16</xdr:row>
      <xdr:rowOff>0</xdr:rowOff>
    </xdr:from>
    <xdr:to>
      <xdr:col>4</xdr:col>
      <xdr:colOff>276225</xdr:colOff>
      <xdr:row>26</xdr:row>
      <xdr:rowOff>76200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6962775" y="3057525"/>
          <a:ext cx="1847850" cy="2076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IMPORTANT: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Weight and balance data is the responsibility of the Pilot In Command.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spreadsheet should not be relied upon for accuracy until you have personally confirmed that all data is consistent with the most current data in the respective airplane.
</a:t>
          </a:r>
        </a:p>
      </xdr:txBody>
    </xdr:sp>
    <xdr:clientData/>
  </xdr:twoCellAnchor>
  <xdr:twoCellAnchor>
    <xdr:from>
      <xdr:col>0</xdr:col>
      <xdr:colOff>6086475</xdr:colOff>
      <xdr:row>1</xdr:row>
      <xdr:rowOff>66675</xdr:rowOff>
    </xdr:from>
    <xdr:to>
      <xdr:col>7</xdr:col>
      <xdr:colOff>190500</xdr:colOff>
      <xdr:row>2</xdr:row>
      <xdr:rowOff>171450</xdr:rowOff>
    </xdr:to>
    <xdr:sp>
      <xdr:nvSpPr>
        <xdr:cNvPr id="8" name="Text Box 27">
          <a:hlinkClick r:id="rId3"/>
        </xdr:cNvPr>
        <xdr:cNvSpPr txBox="1">
          <a:spLocks noChangeArrowheads="1"/>
        </xdr:cNvSpPr>
      </xdr:nvSpPr>
      <xdr:spPr>
        <a:xfrm>
          <a:off x="6086475" y="352425"/>
          <a:ext cx="4410075" cy="352425"/>
        </a:xfrm>
        <a:prstGeom prst="rect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Check www.blueskyaa.com for updates to this spreadsheet</a:t>
          </a:r>
        </a:p>
      </xdr:txBody>
    </xdr:sp>
    <xdr:clientData/>
  </xdr:twoCellAnchor>
  <xdr:twoCellAnchor>
    <xdr:from>
      <xdr:col>0</xdr:col>
      <xdr:colOff>4752975</xdr:colOff>
      <xdr:row>4</xdr:row>
      <xdr:rowOff>123825</xdr:rowOff>
    </xdr:from>
    <xdr:to>
      <xdr:col>1</xdr:col>
      <xdr:colOff>0</xdr:colOff>
      <xdr:row>12</xdr:row>
      <xdr:rowOff>152400</xdr:rowOff>
    </xdr:to>
    <xdr:grpSp>
      <xdr:nvGrpSpPr>
        <xdr:cNvPr id="9" name="Group 57">
          <a:hlinkClick r:id="rId4"/>
        </xdr:cNvPr>
        <xdr:cNvGrpSpPr>
          <a:grpSpLocks/>
        </xdr:cNvGrpSpPr>
      </xdr:nvGrpSpPr>
      <xdr:grpSpPr>
        <a:xfrm>
          <a:off x="4752975" y="1133475"/>
          <a:ext cx="2009775" cy="1323975"/>
          <a:chOff x="499" y="122"/>
          <a:chExt cx="212" cy="139"/>
        </a:xfrm>
        <a:solidFill>
          <a:srgbClr val="FFFFFF"/>
        </a:solidFill>
      </xdr:grpSpPr>
      <xdr:sp>
        <xdr:nvSpPr>
          <xdr:cNvPr id="10" name="Rectangle 12"/>
          <xdr:cNvSpPr>
            <a:spLocks/>
          </xdr:cNvSpPr>
        </xdr:nvSpPr>
        <xdr:spPr>
          <a:xfrm>
            <a:off x="499" y="122"/>
            <a:ext cx="212" cy="13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 Box 6"/>
          <xdr:cNvSpPr txBox="1">
            <a:spLocks noChangeArrowheads="1"/>
          </xdr:cNvSpPr>
        </xdr:nvSpPr>
        <xdr:spPr>
          <a:xfrm>
            <a:off x="513" y="220"/>
            <a:ext cx="183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Skylane N736RE</a:t>
            </a:r>
          </a:p>
        </xdr:txBody>
      </xdr:sp>
      <xdr:pic>
        <xdr:nvPicPr>
          <xdr:cNvPr id="12" name="Picture 5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01" y="146"/>
            <a:ext cx="205" cy="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2552700</xdr:colOff>
      <xdr:row>4</xdr:row>
      <xdr:rowOff>133350</xdr:rowOff>
    </xdr:from>
    <xdr:to>
      <xdr:col>0</xdr:col>
      <xdr:colOff>4562475</xdr:colOff>
      <xdr:row>13</xdr:row>
      <xdr:rowOff>0</xdr:rowOff>
    </xdr:to>
    <xdr:grpSp>
      <xdr:nvGrpSpPr>
        <xdr:cNvPr id="13" name="Group 1">
          <a:hlinkClick r:id="rId6"/>
        </xdr:cNvPr>
        <xdr:cNvGrpSpPr>
          <a:grpSpLocks/>
        </xdr:cNvGrpSpPr>
      </xdr:nvGrpSpPr>
      <xdr:grpSpPr>
        <a:xfrm>
          <a:off x="2552700" y="1143000"/>
          <a:ext cx="2009775" cy="1323975"/>
          <a:chOff x="6924675" y="1181100"/>
          <a:chExt cx="2019300" cy="1323975"/>
        </a:xfrm>
        <a:solidFill>
          <a:srgbClr val="FFFFFF"/>
        </a:solidFill>
      </xdr:grpSpPr>
      <xdr:sp>
        <xdr:nvSpPr>
          <xdr:cNvPr id="14" name="Rectangle 12"/>
          <xdr:cNvSpPr>
            <a:spLocks/>
          </xdr:cNvSpPr>
        </xdr:nvSpPr>
        <xdr:spPr>
          <a:xfrm>
            <a:off x="6924675" y="1181100"/>
            <a:ext cx="2019300" cy="13239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6"/>
          <xdr:cNvSpPr txBox="1">
            <a:spLocks noChangeArrowheads="1"/>
          </xdr:cNvSpPr>
        </xdr:nvSpPr>
        <xdr:spPr>
          <a:xfrm>
            <a:off x="7058454" y="2117812"/>
            <a:ext cx="1740637" cy="3621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Diamond N263DS</a:t>
            </a:r>
          </a:p>
        </xdr:txBody>
      </xdr:sp>
      <xdr:pic>
        <xdr:nvPicPr>
          <xdr:cNvPr id="16" name="Picture 56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 flipH="1">
            <a:off x="6970109" y="1324089"/>
            <a:ext cx="1924898" cy="6762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133350</xdr:rowOff>
    </xdr:from>
    <xdr:to>
      <xdr:col>6</xdr:col>
      <xdr:colOff>57150</xdr:colOff>
      <xdr:row>36</xdr:row>
      <xdr:rowOff>9525</xdr:rowOff>
    </xdr:to>
    <xdr:graphicFrame>
      <xdr:nvGraphicFramePr>
        <xdr:cNvPr id="1" name="Chart 3"/>
        <xdr:cNvGraphicFramePr/>
      </xdr:nvGraphicFramePr>
      <xdr:xfrm>
        <a:off x="0" y="2933700"/>
        <a:ext cx="43815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7</xdr:col>
      <xdr:colOff>0</xdr:colOff>
      <xdr:row>15</xdr:row>
      <xdr:rowOff>0</xdr:rowOff>
    </xdr:to>
    <xdr:sp>
      <xdr:nvSpPr>
        <xdr:cNvPr id="2" name="Rectangle 10"/>
        <xdr:cNvSpPr>
          <a:spLocks/>
        </xdr:cNvSpPr>
      </xdr:nvSpPr>
      <xdr:spPr>
        <a:xfrm>
          <a:off x="0" y="695325"/>
          <a:ext cx="7019925" cy="1943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16</xdr:row>
      <xdr:rowOff>133350</xdr:rowOff>
    </xdr:from>
    <xdr:to>
      <xdr:col>9</xdr:col>
      <xdr:colOff>714375</xdr:colOff>
      <xdr:row>36</xdr:row>
      <xdr:rowOff>28575</xdr:rowOff>
    </xdr:to>
    <xdr:graphicFrame>
      <xdr:nvGraphicFramePr>
        <xdr:cNvPr id="3" name="Chart 11"/>
        <xdr:cNvGraphicFramePr/>
      </xdr:nvGraphicFramePr>
      <xdr:xfrm>
        <a:off x="4448175" y="2933700"/>
        <a:ext cx="46386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76200</xdr:colOff>
      <xdr:row>11</xdr:row>
      <xdr:rowOff>47625</xdr:rowOff>
    </xdr:from>
    <xdr:to>
      <xdr:col>9</xdr:col>
      <xdr:colOff>47625</xdr:colOff>
      <xdr:row>13</xdr:row>
      <xdr:rowOff>123825</xdr:rowOff>
    </xdr:to>
    <xdr:sp>
      <xdr:nvSpPr>
        <xdr:cNvPr id="4" name="AutoShape 12">
          <a:hlinkClick r:id="rId3"/>
        </xdr:cNvPr>
        <xdr:cNvSpPr>
          <a:spLocks/>
        </xdr:cNvSpPr>
      </xdr:nvSpPr>
      <xdr:spPr>
        <a:xfrm>
          <a:off x="7686675" y="2038350"/>
          <a:ext cx="73342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Return to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twoCellAnchor>
    <xdr:from>
      <xdr:col>7</xdr:col>
      <xdr:colOff>285750</xdr:colOff>
      <xdr:row>3</xdr:row>
      <xdr:rowOff>28575</xdr:rowOff>
    </xdr:from>
    <xdr:to>
      <xdr:col>10</xdr:col>
      <xdr:colOff>19050</xdr:colOff>
      <xdr:row>9</xdr:row>
      <xdr:rowOff>133350</xdr:rowOff>
    </xdr:to>
    <xdr:grpSp>
      <xdr:nvGrpSpPr>
        <xdr:cNvPr id="5" name="Group 17">
          <a:hlinkClick r:id="rId4"/>
        </xdr:cNvPr>
        <xdr:cNvGrpSpPr>
          <a:grpSpLocks/>
        </xdr:cNvGrpSpPr>
      </xdr:nvGrpSpPr>
      <xdr:grpSpPr>
        <a:xfrm>
          <a:off x="7305675" y="723900"/>
          <a:ext cx="1847850" cy="1076325"/>
          <a:chOff x="771" y="78"/>
          <a:chExt cx="197" cy="114"/>
        </a:xfrm>
        <a:solidFill>
          <a:srgbClr val="FFFFFF"/>
        </a:solidFill>
      </xdr:grpSpPr>
      <xdr:sp>
        <xdr:nvSpPr>
          <xdr:cNvPr id="6" name="Text Box 8"/>
          <xdr:cNvSpPr txBox="1">
            <a:spLocks noChangeArrowheads="1"/>
          </xdr:cNvSpPr>
        </xdr:nvSpPr>
        <xdr:spPr>
          <a:xfrm>
            <a:off x="773" y="149"/>
            <a:ext cx="183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Skyhawk N642SP</a:t>
            </a:r>
          </a:p>
        </xdr:txBody>
      </xdr:sp>
      <xdr:pic>
        <xdr:nvPicPr>
          <xdr:cNvPr id="7" name="Picture 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71" y="78"/>
            <a:ext cx="182" cy="7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 Box 16"/>
          <xdr:cNvSpPr txBox="1">
            <a:spLocks noChangeArrowheads="1"/>
          </xdr:cNvSpPr>
        </xdr:nvSpPr>
        <xdr:spPr>
          <a:xfrm>
            <a:off x="786" y="172"/>
            <a:ext cx="18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(Click for blueskyaa.com details)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152400</xdr:rowOff>
    </xdr:from>
    <xdr:to>
      <xdr:col>6</xdr:col>
      <xdr:colOff>19050</xdr:colOff>
      <xdr:row>38</xdr:row>
      <xdr:rowOff>28575</xdr:rowOff>
    </xdr:to>
    <xdr:graphicFrame>
      <xdr:nvGraphicFramePr>
        <xdr:cNvPr id="1" name="Chart 3"/>
        <xdr:cNvGraphicFramePr/>
      </xdr:nvGraphicFramePr>
      <xdr:xfrm>
        <a:off x="0" y="3495675"/>
        <a:ext cx="46005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133350</xdr:rowOff>
    </xdr:from>
    <xdr:to>
      <xdr:col>7</xdr:col>
      <xdr:colOff>0</xdr:colOff>
      <xdr:row>18</xdr:row>
      <xdr:rowOff>0</xdr:rowOff>
    </xdr:to>
    <xdr:sp>
      <xdr:nvSpPr>
        <xdr:cNvPr id="2" name="Rectangle 9"/>
        <xdr:cNvSpPr>
          <a:spLocks/>
        </xdr:cNvSpPr>
      </xdr:nvSpPr>
      <xdr:spPr>
        <a:xfrm>
          <a:off x="0" y="666750"/>
          <a:ext cx="8334375" cy="2676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12</xdr:row>
      <xdr:rowOff>66675</xdr:rowOff>
    </xdr:from>
    <xdr:to>
      <xdr:col>9</xdr:col>
      <xdr:colOff>19050</xdr:colOff>
      <xdr:row>14</xdr:row>
      <xdr:rowOff>114300</xdr:rowOff>
    </xdr:to>
    <xdr:sp>
      <xdr:nvSpPr>
        <xdr:cNvPr id="3" name="AutoShape 10">
          <a:hlinkClick r:id="rId2"/>
        </xdr:cNvPr>
        <xdr:cNvSpPr>
          <a:spLocks/>
        </xdr:cNvSpPr>
      </xdr:nvSpPr>
      <xdr:spPr>
        <a:xfrm>
          <a:off x="8972550" y="2219325"/>
          <a:ext cx="733425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Return to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twoCellAnchor>
    <xdr:from>
      <xdr:col>7</xdr:col>
      <xdr:colOff>133350</xdr:colOff>
      <xdr:row>3</xdr:row>
      <xdr:rowOff>66675</xdr:rowOff>
    </xdr:from>
    <xdr:to>
      <xdr:col>10</xdr:col>
      <xdr:colOff>323850</xdr:colOff>
      <xdr:row>10</xdr:row>
      <xdr:rowOff>95250</xdr:rowOff>
    </xdr:to>
    <xdr:grpSp>
      <xdr:nvGrpSpPr>
        <xdr:cNvPr id="4" name="Group 1"/>
        <xdr:cNvGrpSpPr>
          <a:grpSpLocks/>
        </xdr:cNvGrpSpPr>
      </xdr:nvGrpSpPr>
      <xdr:grpSpPr>
        <a:xfrm>
          <a:off x="8467725" y="762000"/>
          <a:ext cx="2305050" cy="1162050"/>
          <a:chOff x="7125787" y="779941"/>
          <a:chExt cx="3000664" cy="1039283"/>
        </a:xfrm>
        <a:solidFill>
          <a:srgbClr val="FFFFFF"/>
        </a:solidFill>
      </xdr:grpSpPr>
      <xdr:sp>
        <xdr:nvSpPr>
          <xdr:cNvPr id="5" name="Text Box 7"/>
          <xdr:cNvSpPr txBox="1">
            <a:spLocks noChangeArrowheads="1"/>
          </xdr:cNvSpPr>
        </xdr:nvSpPr>
        <xdr:spPr>
          <a:xfrm>
            <a:off x="7125787" y="1454436"/>
            <a:ext cx="3000664" cy="3647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Diamond DA40 N263DS</a:t>
            </a:r>
          </a:p>
        </xdr:txBody>
      </xdr:sp>
      <xdr:pic>
        <xdr:nvPicPr>
          <xdr:cNvPr id="6" name="Picture 1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flipH="1">
            <a:off x="7455860" y="779941"/>
            <a:ext cx="2495052" cy="6674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152400</xdr:rowOff>
    </xdr:from>
    <xdr:to>
      <xdr:col>6</xdr:col>
      <xdr:colOff>19050</xdr:colOff>
      <xdr:row>36</xdr:row>
      <xdr:rowOff>28575</xdr:rowOff>
    </xdr:to>
    <xdr:graphicFrame>
      <xdr:nvGraphicFramePr>
        <xdr:cNvPr id="1" name="Chart 3"/>
        <xdr:cNvGraphicFramePr/>
      </xdr:nvGraphicFramePr>
      <xdr:xfrm>
        <a:off x="0" y="2952750"/>
        <a:ext cx="43910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16</xdr:row>
      <xdr:rowOff>152400</xdr:rowOff>
    </xdr:from>
    <xdr:to>
      <xdr:col>9</xdr:col>
      <xdr:colOff>723900</xdr:colOff>
      <xdr:row>36</xdr:row>
      <xdr:rowOff>28575</xdr:rowOff>
    </xdr:to>
    <xdr:graphicFrame>
      <xdr:nvGraphicFramePr>
        <xdr:cNvPr id="2" name="Chart 4"/>
        <xdr:cNvGraphicFramePr/>
      </xdr:nvGraphicFramePr>
      <xdr:xfrm>
        <a:off x="4457700" y="2952750"/>
        <a:ext cx="46386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7</xdr:col>
      <xdr:colOff>0</xdr:colOff>
      <xdr:row>15</xdr:row>
      <xdr:rowOff>0</xdr:rowOff>
    </xdr:to>
    <xdr:sp>
      <xdr:nvSpPr>
        <xdr:cNvPr id="3" name="Rectangle 9"/>
        <xdr:cNvSpPr>
          <a:spLocks/>
        </xdr:cNvSpPr>
      </xdr:nvSpPr>
      <xdr:spPr>
        <a:xfrm>
          <a:off x="0" y="695325"/>
          <a:ext cx="7019925" cy="1943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12</xdr:row>
      <xdr:rowOff>47625</xdr:rowOff>
    </xdr:from>
    <xdr:to>
      <xdr:col>9</xdr:col>
      <xdr:colOff>38100</xdr:colOff>
      <xdr:row>14</xdr:row>
      <xdr:rowOff>85725</xdr:rowOff>
    </xdr:to>
    <xdr:sp>
      <xdr:nvSpPr>
        <xdr:cNvPr id="4" name="AutoShape 10">
          <a:hlinkClick r:id="rId3"/>
        </xdr:cNvPr>
        <xdr:cNvSpPr>
          <a:spLocks/>
        </xdr:cNvSpPr>
      </xdr:nvSpPr>
      <xdr:spPr>
        <a:xfrm>
          <a:off x="7667625" y="2200275"/>
          <a:ext cx="74295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Return to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twoCellAnchor>
    <xdr:from>
      <xdr:col>7</xdr:col>
      <xdr:colOff>419100</xdr:colOff>
      <xdr:row>8</xdr:row>
      <xdr:rowOff>85725</xdr:rowOff>
    </xdr:from>
    <xdr:to>
      <xdr:col>10</xdr:col>
      <xdr:colOff>9525</xdr:colOff>
      <xdr:row>9</xdr:row>
      <xdr:rowOff>114300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7439025" y="1590675"/>
          <a:ext cx="1704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(Click for blueskyaa.com details)</a:t>
          </a:r>
        </a:p>
      </xdr:txBody>
    </xdr:sp>
    <xdr:clientData/>
  </xdr:twoCellAnchor>
  <xdr:twoCellAnchor>
    <xdr:from>
      <xdr:col>7</xdr:col>
      <xdr:colOff>180975</xdr:colOff>
      <xdr:row>3</xdr:row>
      <xdr:rowOff>47625</xdr:rowOff>
    </xdr:from>
    <xdr:to>
      <xdr:col>9</xdr:col>
      <xdr:colOff>704850</xdr:colOff>
      <xdr:row>9</xdr:row>
      <xdr:rowOff>28575</xdr:rowOff>
    </xdr:to>
    <xdr:grpSp>
      <xdr:nvGrpSpPr>
        <xdr:cNvPr id="6" name="Group 16">
          <a:hlinkClick r:id="rId4"/>
        </xdr:cNvPr>
        <xdr:cNvGrpSpPr>
          <a:grpSpLocks/>
        </xdr:cNvGrpSpPr>
      </xdr:nvGrpSpPr>
      <xdr:grpSpPr>
        <a:xfrm>
          <a:off x="7200900" y="742950"/>
          <a:ext cx="1876425" cy="952500"/>
          <a:chOff x="753" y="80"/>
          <a:chExt cx="201" cy="100"/>
        </a:xfrm>
        <a:solidFill>
          <a:srgbClr val="FFFFFF"/>
        </a:solidFill>
      </xdr:grpSpPr>
      <xdr:sp>
        <xdr:nvSpPr>
          <xdr:cNvPr id="7" name="Text Box 7"/>
          <xdr:cNvSpPr txBox="1">
            <a:spLocks noChangeArrowheads="1"/>
          </xdr:cNvSpPr>
        </xdr:nvSpPr>
        <xdr:spPr>
          <a:xfrm>
            <a:off x="768" y="143"/>
            <a:ext cx="182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Skylane N736RE</a:t>
            </a:r>
          </a:p>
        </xdr:txBody>
      </xdr:sp>
      <xdr:pic>
        <xdr:nvPicPr>
          <xdr:cNvPr id="8" name="Picture 1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53" y="80"/>
            <a:ext cx="201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ueskyaa.com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showRowColHeaders="0" tabSelected="1" zoomScalePageLayoutView="0" workbookViewId="0" topLeftCell="A1">
      <selection activeCell="B2" sqref="B2"/>
    </sheetView>
  </sheetViews>
  <sheetFormatPr defaultColWidth="11.421875" defaultRowHeight="12.75"/>
  <cols>
    <col min="1" max="1" width="101.421875" style="55" customWidth="1"/>
    <col min="2" max="16384" width="8.8515625" style="0" customWidth="1"/>
  </cols>
  <sheetData>
    <row r="1" spans="1:4" s="40" customFormat="1" ht="22.5">
      <c r="A1" s="88" t="s">
        <v>23</v>
      </c>
      <c r="B1" s="91" t="s">
        <v>62</v>
      </c>
      <c r="D1" s="47"/>
    </row>
    <row r="2" s="48" customFormat="1" ht="19.5">
      <c r="A2" s="54" t="s">
        <v>25</v>
      </c>
    </row>
    <row r="3" s="48" customFormat="1" ht="19.5">
      <c r="A3" s="54"/>
    </row>
    <row r="4" s="57" customFormat="1" ht="18">
      <c r="A4" s="84" t="s">
        <v>32</v>
      </c>
    </row>
    <row r="5" ht="12.75"/>
    <row r="6" ht="12.75"/>
    <row r="7" ht="12.75"/>
    <row r="8" ht="12.75"/>
    <row r="9" ht="12.75">
      <c r="D9" s="93"/>
    </row>
    <row r="10" ht="12.75"/>
    <row r="11" ht="12.75"/>
    <row r="12" ht="12.75"/>
    <row r="13" ht="12.75"/>
    <row r="14" s="52" customFormat="1" ht="15">
      <c r="A14" s="53"/>
    </row>
    <row r="15" ht="15.75">
      <c r="A15" s="51"/>
    </row>
    <row r="16" s="52" customFormat="1" ht="15.75">
      <c r="A16" s="51"/>
    </row>
    <row r="17" s="52" customFormat="1" ht="15.75">
      <c r="A17" s="58"/>
    </row>
    <row r="18" s="52" customFormat="1" ht="15.75">
      <c r="A18" s="58"/>
    </row>
    <row r="19" s="52" customFormat="1" ht="15.75">
      <c r="A19" s="59"/>
    </row>
    <row r="20" s="52" customFormat="1" ht="15.75">
      <c r="A20" s="59"/>
    </row>
    <row r="21" s="52" customFormat="1" ht="15.75">
      <c r="A21" s="59"/>
    </row>
    <row r="22" s="52" customFormat="1" ht="15.75">
      <c r="A22" s="58"/>
    </row>
    <row r="23" s="52" customFormat="1" ht="15.75">
      <c r="A23" s="58"/>
    </row>
    <row r="24" s="52" customFormat="1" ht="15.75">
      <c r="A24" s="58"/>
    </row>
    <row r="25" s="52" customFormat="1" ht="15.75">
      <c r="A25" s="58"/>
    </row>
    <row r="26" s="52" customFormat="1" ht="15.75">
      <c r="A26" s="58"/>
    </row>
    <row r="27" s="52" customFormat="1" ht="15.75">
      <c r="A27" s="55"/>
    </row>
    <row r="30" ht="12.75">
      <c r="A30" s="56"/>
    </row>
  </sheetData>
  <sheetProtection password="C1EF" sheet="1"/>
  <hyperlinks>
    <hyperlink ref="A1" r:id="rId1" display="Blue Sky Aviation Association"/>
  </hyperlinks>
  <printOptions/>
  <pageMargins left="0.75" right="0.75" top="1" bottom="1" header="0.5" footer="0.5"/>
  <pageSetup fitToHeight="1" fitToWidth="1" horizontalDpi="300" verticalDpi="300" orientation="landscape" scale="88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23.421875" style="0" customWidth="1"/>
    <col min="2" max="2" width="4.421875" style="0" customWidth="1"/>
    <col min="3" max="3" width="13.7109375" style="0" customWidth="1"/>
    <col min="4" max="4" width="12.7109375" style="0" customWidth="1"/>
    <col min="5" max="5" width="10.140625" style="0" bestFit="1" customWidth="1"/>
    <col min="6" max="6" width="0.42578125" style="0" customWidth="1"/>
    <col min="7" max="7" width="40.421875" style="0" customWidth="1"/>
    <col min="8" max="8" width="8.8515625" style="0" customWidth="1"/>
    <col min="9" max="10" width="11.421875" style="0" customWidth="1"/>
    <col min="11" max="16384" width="8.8515625" style="0" customWidth="1"/>
  </cols>
  <sheetData>
    <row r="1" spans="1:8" s="60" customFormat="1" ht="22.5">
      <c r="A1" s="66" t="s">
        <v>23</v>
      </c>
      <c r="B1" s="66"/>
      <c r="C1" s="66"/>
      <c r="D1" s="66"/>
      <c r="E1" s="66"/>
      <c r="F1" s="66"/>
      <c r="G1" s="66"/>
      <c r="H1" s="56" t="str">
        <f>Menu!$B$1</f>
        <v>Last Rev: Nov. 18, 2018</v>
      </c>
    </row>
    <row r="2" spans="1:8" s="48" customFormat="1" ht="19.5">
      <c r="A2" s="67" t="s">
        <v>25</v>
      </c>
      <c r="B2" s="67"/>
      <c r="C2" s="67"/>
      <c r="D2" s="67"/>
      <c r="E2" s="67"/>
      <c r="F2" s="67"/>
      <c r="G2" s="67"/>
      <c r="H2" s="63"/>
    </row>
    <row r="3" spans="1:7" s="4" customFormat="1" ht="12.75">
      <c r="A3" s="68"/>
      <c r="B3" s="68"/>
      <c r="C3" s="68"/>
      <c r="D3" s="68"/>
      <c r="E3" s="68"/>
      <c r="F3" s="68"/>
      <c r="G3" s="68"/>
    </row>
    <row r="4" spans="1:9" s="4" customFormat="1" ht="12.75">
      <c r="A4" s="69" t="s">
        <v>26</v>
      </c>
      <c r="B4" s="69"/>
      <c r="C4" s="70" t="s">
        <v>8</v>
      </c>
      <c r="D4" s="70" t="s">
        <v>0</v>
      </c>
      <c r="E4" s="70" t="s">
        <v>5</v>
      </c>
      <c r="F4" s="70"/>
      <c r="G4" s="71" t="s">
        <v>22</v>
      </c>
      <c r="I4" s="41"/>
    </row>
    <row r="5" spans="1:9" s="4" customFormat="1" ht="12.75">
      <c r="A5" s="72" t="s">
        <v>4</v>
      </c>
      <c r="B5" s="72"/>
      <c r="C5" s="74">
        <v>1713.95</v>
      </c>
      <c r="D5" s="73">
        <f>E5/C5</f>
        <v>40.51119344204907</v>
      </c>
      <c r="E5" s="74">
        <v>69434.16</v>
      </c>
      <c r="F5" s="72">
        <f>E5/1000</f>
        <v>69.43416</v>
      </c>
      <c r="G5" s="75" t="s">
        <v>46</v>
      </c>
      <c r="I5" s="3"/>
    </row>
    <row r="6" spans="1:9" s="4" customFormat="1" ht="12.75">
      <c r="A6" s="72" t="s">
        <v>6</v>
      </c>
      <c r="B6" s="72"/>
      <c r="C6" s="74">
        <f>C7-C5</f>
        <v>836.05</v>
      </c>
      <c r="D6" s="73"/>
      <c r="E6" s="74"/>
      <c r="F6" s="72"/>
      <c r="G6" s="76"/>
      <c r="I6" s="3"/>
    </row>
    <row r="7" spans="1:9" s="4" customFormat="1" ht="12.75">
      <c r="A7" s="72" t="s">
        <v>7</v>
      </c>
      <c r="B7" s="72"/>
      <c r="C7" s="65">
        <v>2550</v>
      </c>
      <c r="D7" s="73"/>
      <c r="E7" s="74"/>
      <c r="F7" s="72"/>
      <c r="G7" s="76"/>
      <c r="I7" s="3"/>
    </row>
    <row r="8" spans="1:7" s="4" customFormat="1" ht="12.75">
      <c r="A8" s="72"/>
      <c r="B8" s="72"/>
      <c r="C8" s="65"/>
      <c r="D8" s="73"/>
      <c r="E8" s="74"/>
      <c r="F8" s="72"/>
      <c r="G8" s="77"/>
    </row>
    <row r="9" spans="1:7" s="4" customFormat="1" ht="12.75">
      <c r="A9" s="72" t="s">
        <v>1</v>
      </c>
      <c r="B9" s="72"/>
      <c r="C9" s="90"/>
      <c r="D9" s="73">
        <v>37</v>
      </c>
      <c r="E9" s="74">
        <f>D9*C9</f>
        <v>0</v>
      </c>
      <c r="F9" s="72">
        <f aca="true" t="shared" si="0" ref="F9:F15">E9/1000</f>
        <v>0</v>
      </c>
      <c r="G9" s="77"/>
    </row>
    <row r="10" spans="1:7" s="4" customFormat="1" ht="12.75">
      <c r="A10" s="72" t="s">
        <v>2</v>
      </c>
      <c r="B10" s="72"/>
      <c r="C10" s="90"/>
      <c r="D10" s="73">
        <v>73</v>
      </c>
      <c r="E10" s="74">
        <f>D10*C10</f>
        <v>0</v>
      </c>
      <c r="F10" s="72">
        <f t="shared" si="0"/>
        <v>0</v>
      </c>
      <c r="G10" s="77"/>
    </row>
    <row r="11" spans="1:7" s="4" customFormat="1" ht="12.75">
      <c r="A11" s="72" t="s">
        <v>31</v>
      </c>
      <c r="B11" s="72"/>
      <c r="C11" s="90">
        <v>10</v>
      </c>
      <c r="D11" s="73">
        <v>95</v>
      </c>
      <c r="E11" s="74">
        <f>D11*C11</f>
        <v>950</v>
      </c>
      <c r="F11" s="72">
        <f t="shared" si="0"/>
        <v>0.95</v>
      </c>
      <c r="G11" s="77">
        <f>IF(C11+C12&gt;120,"Total baggage weight can't exceed 120 lbs","")</f>
      </c>
    </row>
    <row r="12" spans="1:7" s="4" customFormat="1" ht="12.75">
      <c r="A12" s="72" t="s">
        <v>3</v>
      </c>
      <c r="B12" s="72"/>
      <c r="C12" s="90"/>
      <c r="D12" s="73">
        <v>123</v>
      </c>
      <c r="E12" s="74">
        <f>D12*C12</f>
        <v>0</v>
      </c>
      <c r="F12" s="72">
        <f t="shared" si="0"/>
        <v>0</v>
      </c>
      <c r="G12" s="77">
        <f>IF(C12&gt;50,"Area 2 weight can not exceed 50 lbs","")</f>
      </c>
    </row>
    <row r="13" spans="1:7" s="4" customFormat="1" ht="12.75">
      <c r="A13" s="72" t="s">
        <v>20</v>
      </c>
      <c r="B13" s="49">
        <v>53</v>
      </c>
      <c r="C13" s="74">
        <f>B13*6</f>
        <v>318</v>
      </c>
      <c r="D13" s="73">
        <v>46</v>
      </c>
      <c r="E13" s="74">
        <f>D13*C13</f>
        <v>14628</v>
      </c>
      <c r="F13" s="72">
        <f t="shared" si="0"/>
        <v>14.628</v>
      </c>
      <c r="G13" s="77">
        <f>IF(B13&gt;53,"Usable fuel can not exceed 53 gals","")</f>
      </c>
    </row>
    <row r="14" spans="1:7" s="4" customFormat="1" ht="12.75">
      <c r="A14" s="72"/>
      <c r="B14" s="72"/>
      <c r="C14" s="74"/>
      <c r="D14" s="73"/>
      <c r="E14" s="74"/>
      <c r="F14" s="72">
        <f t="shared" si="0"/>
        <v>0</v>
      </c>
      <c r="G14" s="77"/>
    </row>
    <row r="15" spans="1:7" s="4" customFormat="1" ht="12.75">
      <c r="A15" s="75" t="s">
        <v>52</v>
      </c>
      <c r="B15" s="75"/>
      <c r="C15" s="79">
        <f>SUM(C9:C14)+C5</f>
        <v>2041.95</v>
      </c>
      <c r="D15" s="78">
        <f>E15/C15</f>
        <v>41.63283136217831</v>
      </c>
      <c r="E15" s="79">
        <f>SUM(E5:E14)</f>
        <v>85012.16</v>
      </c>
      <c r="F15" s="72">
        <f t="shared" si="0"/>
        <v>85.01216000000001</v>
      </c>
      <c r="G15" s="80">
        <f>IF(C15&gt;2550,CONCATENATE("Max T/O weight exceeded by ",ROUND(C15-2550,0)," lbs"),"")</f>
      </c>
    </row>
    <row r="16" spans="1:7" s="4" customFormat="1" ht="12.75">
      <c r="A16" s="68"/>
      <c r="B16" s="68"/>
      <c r="C16" s="81"/>
      <c r="D16" s="68"/>
      <c r="E16" s="81"/>
      <c r="F16" s="68"/>
      <c r="G16" s="68"/>
    </row>
    <row r="17" spans="3:5" s="4" customFormat="1" ht="12.75">
      <c r="C17" s="1"/>
      <c r="E17" s="1"/>
    </row>
    <row r="18" s="4" customFormat="1" ht="12.75"/>
    <row r="19" s="4" customFormat="1" ht="12.75"/>
    <row r="20" s="5" customFormat="1" ht="12.75"/>
    <row r="21" s="4" customFormat="1" ht="12.75"/>
    <row r="22" s="4" customFormat="1" ht="12.75"/>
    <row r="23" s="4" customFormat="1" ht="12.75"/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  <row r="30" s="5" customFormat="1" ht="12.75"/>
    <row r="31" s="5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pans="1:11" ht="12.75">
      <c r="A40" s="28" t="s">
        <v>17</v>
      </c>
      <c r="B40" s="42"/>
      <c r="C40" s="29"/>
      <c r="D40" s="29"/>
      <c r="E40" s="30"/>
      <c r="G40" s="28" t="s">
        <v>17</v>
      </c>
      <c r="H40" s="42"/>
      <c r="I40" s="29"/>
      <c r="J40" s="29"/>
      <c r="K40" s="30"/>
    </row>
    <row r="41" spans="1:11" ht="12.75">
      <c r="A41" s="31" t="s">
        <v>18</v>
      </c>
      <c r="B41" s="43"/>
      <c r="C41" s="32"/>
      <c r="D41" s="32"/>
      <c r="E41" s="33"/>
      <c r="G41" s="31" t="s">
        <v>18</v>
      </c>
      <c r="H41" s="43"/>
      <c r="I41" s="32"/>
      <c r="J41" s="32"/>
      <c r="K41" s="33"/>
    </row>
    <row r="42" spans="1:11" ht="12.75">
      <c r="A42" s="6" t="s">
        <v>11</v>
      </c>
      <c r="B42" s="44"/>
      <c r="C42" s="7"/>
      <c r="D42" s="8"/>
      <c r="E42" s="9"/>
      <c r="G42" s="6" t="s">
        <v>14</v>
      </c>
      <c r="H42" s="44"/>
      <c r="I42" s="7"/>
      <c r="J42" s="8"/>
      <c r="K42" s="9"/>
    </row>
    <row r="43" spans="1:11" ht="12.75">
      <c r="A43" s="34" t="s">
        <v>12</v>
      </c>
      <c r="B43" s="45"/>
      <c r="C43" s="35"/>
      <c r="D43" s="38" t="s">
        <v>13</v>
      </c>
      <c r="E43" s="36"/>
      <c r="G43" s="34" t="s">
        <v>12</v>
      </c>
      <c r="H43" s="45"/>
      <c r="I43" s="37"/>
      <c r="J43" s="38" t="s">
        <v>13</v>
      </c>
      <c r="K43" s="39"/>
    </row>
    <row r="44" spans="1:11" ht="55.5">
      <c r="A44" s="19" t="s">
        <v>10</v>
      </c>
      <c r="B44" s="20"/>
      <c r="C44" s="20" t="s">
        <v>9</v>
      </c>
      <c r="D44" s="21" t="s">
        <v>10</v>
      </c>
      <c r="E44" s="22" t="s">
        <v>9</v>
      </c>
      <c r="G44" s="11" t="s">
        <v>16</v>
      </c>
      <c r="H44" s="12"/>
      <c r="I44" s="12" t="s">
        <v>15</v>
      </c>
      <c r="J44" s="13" t="s">
        <v>16</v>
      </c>
      <c r="K44" s="14" t="s">
        <v>15</v>
      </c>
    </row>
    <row r="45" spans="1:11" ht="12.75">
      <c r="A45" s="15">
        <v>52</v>
      </c>
      <c r="B45" s="46"/>
      <c r="C45" s="10">
        <v>1500</v>
      </c>
      <c r="D45" s="16">
        <v>52</v>
      </c>
      <c r="E45" s="17">
        <v>1500</v>
      </c>
      <c r="G45" s="19">
        <v>35</v>
      </c>
      <c r="H45" s="20"/>
      <c r="I45" s="20">
        <v>1500</v>
      </c>
      <c r="J45" s="21">
        <v>35</v>
      </c>
      <c r="K45" s="22">
        <v>1500</v>
      </c>
    </row>
    <row r="46" spans="1:11" ht="12.75">
      <c r="A46" s="15">
        <v>68</v>
      </c>
      <c r="B46" s="46"/>
      <c r="C46" s="10">
        <v>1950</v>
      </c>
      <c r="D46" s="16">
        <v>68</v>
      </c>
      <c r="E46" s="17">
        <v>1950</v>
      </c>
      <c r="G46" s="23">
        <v>35</v>
      </c>
      <c r="H46" s="10"/>
      <c r="I46" s="10">
        <v>1950</v>
      </c>
      <c r="J46" s="18">
        <v>35</v>
      </c>
      <c r="K46" s="17">
        <v>1950</v>
      </c>
    </row>
    <row r="47" spans="1:11" ht="12.75">
      <c r="A47" s="15">
        <v>104.5</v>
      </c>
      <c r="B47" s="46"/>
      <c r="C47" s="10">
        <v>2550</v>
      </c>
      <c r="D47" s="18">
        <v>83.2</v>
      </c>
      <c r="E47" s="17">
        <v>2200</v>
      </c>
      <c r="G47" s="23">
        <v>41</v>
      </c>
      <c r="H47" s="10"/>
      <c r="I47" s="10">
        <v>2550</v>
      </c>
      <c r="J47" s="18">
        <v>37.5</v>
      </c>
      <c r="K47" s="17">
        <v>2200</v>
      </c>
    </row>
    <row r="48" spans="1:11" ht="12.75">
      <c r="A48" s="15">
        <v>121</v>
      </c>
      <c r="B48" s="46"/>
      <c r="C48" s="10">
        <v>2550</v>
      </c>
      <c r="D48" s="18">
        <v>89</v>
      </c>
      <c r="E48" s="17">
        <v>2200</v>
      </c>
      <c r="G48" s="23">
        <v>47.3</v>
      </c>
      <c r="H48" s="10"/>
      <c r="I48" s="10">
        <v>2550</v>
      </c>
      <c r="J48" s="18">
        <v>40.5</v>
      </c>
      <c r="K48" s="17">
        <v>2200</v>
      </c>
    </row>
    <row r="49" spans="1:11" ht="12.75">
      <c r="A49" s="61">
        <v>70.5</v>
      </c>
      <c r="B49" s="62"/>
      <c r="C49" s="25">
        <v>1500</v>
      </c>
      <c r="D49" s="26">
        <v>60.5</v>
      </c>
      <c r="E49" s="27">
        <v>1500</v>
      </c>
      <c r="G49" s="24">
        <v>47.3</v>
      </c>
      <c r="H49" s="25"/>
      <c r="I49" s="25">
        <v>1500</v>
      </c>
      <c r="J49" s="26">
        <v>40.5</v>
      </c>
      <c r="K49" s="27">
        <v>1500</v>
      </c>
    </row>
    <row r="51" spans="6:7" ht="12.75">
      <c r="F51" s="2"/>
      <c r="G51" s="2"/>
    </row>
    <row r="61" spans="6:7" ht="12.75">
      <c r="F61" s="2"/>
      <c r="G61" s="2"/>
    </row>
    <row r="62" spans="6:7" ht="12.75">
      <c r="F62" s="2"/>
      <c r="G62" s="2"/>
    </row>
  </sheetData>
  <sheetProtection password="C1EF" sheet="1" objects="1" scenarios="1"/>
  <printOptions/>
  <pageMargins left="0.75" right="0.75" top="1" bottom="1" header="0.5" footer="0.5"/>
  <pageSetup fitToHeight="1" fitToWidth="1" horizontalDpi="300" verticalDpi="300" orientation="landscape" scale="88"/>
  <headerFooter alignWithMargins="0">
    <oddFooter>&amp;LPrinted on &amp;D &amp;T&amp;RPIC must confirm accuracy of data with official aircraft documentation.</oddFooter>
  </headerFooter>
  <ignoredErrors>
    <ignoredError sqref="C1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zoomScalePageLayoutView="0" workbookViewId="0" topLeftCell="A1">
      <selection activeCell="C14" sqref="C14"/>
    </sheetView>
  </sheetViews>
  <sheetFormatPr defaultColWidth="11.421875" defaultRowHeight="12.75"/>
  <cols>
    <col min="1" max="1" width="25.28125" style="0" customWidth="1"/>
    <col min="2" max="2" width="5.8515625" style="0" customWidth="1"/>
    <col min="3" max="3" width="13.7109375" style="0" customWidth="1"/>
    <col min="4" max="4" width="12.7109375" style="0" customWidth="1"/>
    <col min="5" max="5" width="10.140625" style="0" bestFit="1" customWidth="1"/>
    <col min="6" max="6" width="0.9921875" style="0" customWidth="1"/>
    <col min="7" max="7" width="56.28125" style="0" customWidth="1"/>
    <col min="8" max="8" width="8.8515625" style="0" customWidth="1"/>
    <col min="9" max="10" width="11.421875" style="0" customWidth="1"/>
    <col min="11" max="16384" width="8.8515625" style="0" customWidth="1"/>
  </cols>
  <sheetData>
    <row r="1" spans="1:8" s="60" customFormat="1" ht="22.5">
      <c r="A1" s="66" t="s">
        <v>23</v>
      </c>
      <c r="B1" s="66"/>
      <c r="C1" s="66"/>
      <c r="D1" s="66"/>
      <c r="E1" s="66"/>
      <c r="F1" s="66"/>
      <c r="G1" s="66"/>
      <c r="H1" s="56" t="str">
        <f>Menu!$B$1</f>
        <v>Last Rev: Nov. 18, 2018</v>
      </c>
    </row>
    <row r="2" spans="1:8" s="48" customFormat="1" ht="19.5">
      <c r="A2" s="67" t="s">
        <v>25</v>
      </c>
      <c r="B2" s="67"/>
      <c r="C2" s="67"/>
      <c r="D2" s="67"/>
      <c r="E2" s="67"/>
      <c r="F2" s="67"/>
      <c r="G2" s="101"/>
      <c r="H2" s="64"/>
    </row>
    <row r="3" spans="1:7" ht="12.75">
      <c r="A3" s="83" t="s">
        <v>24</v>
      </c>
      <c r="B3" s="83"/>
      <c r="C3" s="83"/>
      <c r="D3" s="83"/>
      <c r="E3" s="83"/>
      <c r="F3" s="83"/>
      <c r="G3" s="103"/>
    </row>
    <row r="4" spans="1:9" s="4" customFormat="1" ht="12.75">
      <c r="A4" s="69" t="s">
        <v>54</v>
      </c>
      <c r="B4" s="69"/>
      <c r="C4" s="70" t="s">
        <v>8</v>
      </c>
      <c r="D4" s="70" t="s">
        <v>0</v>
      </c>
      <c r="E4" s="70" t="s">
        <v>5</v>
      </c>
      <c r="F4" s="70"/>
      <c r="G4" s="71" t="s">
        <v>22</v>
      </c>
      <c r="I4" s="41"/>
    </row>
    <row r="5" spans="1:12" s="4" customFormat="1" ht="12.75">
      <c r="A5" s="72" t="s">
        <v>4</v>
      </c>
      <c r="B5" s="72"/>
      <c r="C5" s="94">
        <v>1702.3</v>
      </c>
      <c r="D5" s="95">
        <f>E5/C5</f>
        <v>95.78839804969746</v>
      </c>
      <c r="E5" s="94">
        <v>163060.59</v>
      </c>
      <c r="F5" s="72">
        <f>E5/1000</f>
        <v>163.06059</v>
      </c>
      <c r="G5" s="102" t="s">
        <v>63</v>
      </c>
      <c r="I5" s="3"/>
      <c r="L5" s="89"/>
    </row>
    <row r="6" spans="1:12" s="4" customFormat="1" ht="12.75">
      <c r="A6" s="72" t="s">
        <v>6</v>
      </c>
      <c r="B6" s="72"/>
      <c r="C6" s="94">
        <f>C7-C5</f>
        <v>832.7</v>
      </c>
      <c r="D6" s="100"/>
      <c r="E6" s="99"/>
      <c r="F6" s="72"/>
      <c r="G6" s="77"/>
      <c r="I6" s="3"/>
      <c r="L6" s="89"/>
    </row>
    <row r="7" spans="1:9" s="4" customFormat="1" ht="12.75">
      <c r="A7" s="72" t="s">
        <v>56</v>
      </c>
      <c r="B7" s="72"/>
      <c r="C7" s="94">
        <v>2535</v>
      </c>
      <c r="D7" s="100"/>
      <c r="E7" s="99"/>
      <c r="F7" s="72"/>
      <c r="G7" s="76" t="s">
        <v>47</v>
      </c>
      <c r="I7" s="3"/>
    </row>
    <row r="8" spans="1:9" s="4" customFormat="1" ht="12.75">
      <c r="A8" s="72" t="s">
        <v>55</v>
      </c>
      <c r="B8" s="72"/>
      <c r="C8" s="94">
        <v>2407</v>
      </c>
      <c r="D8" s="100"/>
      <c r="E8" s="99"/>
      <c r="F8" s="72"/>
      <c r="G8" s="76"/>
      <c r="I8" s="3"/>
    </row>
    <row r="9" spans="1:7" s="4" customFormat="1" ht="12.75">
      <c r="A9" s="72"/>
      <c r="B9" s="72"/>
      <c r="C9" s="99"/>
      <c r="D9" s="100"/>
      <c r="E9" s="99"/>
      <c r="F9" s="72"/>
      <c r="G9" s="77"/>
    </row>
    <row r="10" spans="1:7" s="4" customFormat="1" ht="12.75">
      <c r="A10" s="72" t="s">
        <v>1</v>
      </c>
      <c r="B10" s="72"/>
      <c r="C10" s="96"/>
      <c r="D10" s="95">
        <v>90.6</v>
      </c>
      <c r="E10" s="94">
        <f>D10*C10</f>
        <v>0</v>
      </c>
      <c r="F10" s="72">
        <f aca="true" t="shared" si="0" ref="F10:F16">E10/1000</f>
        <v>0</v>
      </c>
      <c r="G10" s="77"/>
    </row>
    <row r="11" spans="1:7" s="4" customFormat="1" ht="12.75">
      <c r="A11" s="72" t="s">
        <v>2</v>
      </c>
      <c r="B11" s="72"/>
      <c r="C11" s="96"/>
      <c r="D11" s="95">
        <v>128</v>
      </c>
      <c r="E11" s="94">
        <f>D11*C11</f>
        <v>0</v>
      </c>
      <c r="F11" s="72">
        <f t="shared" si="0"/>
        <v>0</v>
      </c>
      <c r="G11" s="77"/>
    </row>
    <row r="12" spans="1:7" s="4" customFormat="1" ht="12.75">
      <c r="A12" s="76" t="s">
        <v>57</v>
      </c>
      <c r="B12" s="72"/>
      <c r="C12" s="96">
        <v>10</v>
      </c>
      <c r="D12" s="95">
        <v>143.7</v>
      </c>
      <c r="E12" s="94">
        <f>D12*C12</f>
        <v>1437</v>
      </c>
      <c r="F12" s="72">
        <f t="shared" si="0"/>
        <v>1.437</v>
      </c>
      <c r="G12" s="77">
        <f>IF(C12+C13&gt;66,"Total baggage weight can't exceed 66 lbs","")</f>
      </c>
    </row>
    <row r="13" spans="1:7" s="4" customFormat="1" ht="12.75">
      <c r="A13" s="76" t="s">
        <v>59</v>
      </c>
      <c r="B13" s="72"/>
      <c r="C13" s="96">
        <v>2</v>
      </c>
      <c r="D13" s="95">
        <v>170.1</v>
      </c>
      <c r="E13" s="94">
        <f>D13*C13</f>
        <v>340.2</v>
      </c>
      <c r="F13" s="72">
        <f t="shared" si="0"/>
        <v>0.3402</v>
      </c>
      <c r="G13" s="77">
        <f>IF(C13&gt;11,"Baggage tube load can not exceed 11 lbs","")</f>
      </c>
    </row>
    <row r="14" spans="1:7" s="4" customFormat="1" ht="12.75">
      <c r="A14" s="76" t="s">
        <v>53</v>
      </c>
      <c r="B14" s="49">
        <v>40</v>
      </c>
      <c r="C14" s="94">
        <f>B14*6</f>
        <v>240</v>
      </c>
      <c r="D14" s="95">
        <v>103.5</v>
      </c>
      <c r="E14" s="94">
        <f>D14*C14</f>
        <v>24840</v>
      </c>
      <c r="F14" s="72">
        <f t="shared" si="0"/>
        <v>24.84</v>
      </c>
      <c r="G14" s="77">
        <f>IF(B14&gt;40.2,"Usable fuel can not exceed 40.2 gals","")</f>
      </c>
    </row>
    <row r="15" spans="1:7" s="4" customFormat="1" ht="12.75">
      <c r="A15" s="72"/>
      <c r="B15" s="72"/>
      <c r="C15" s="99"/>
      <c r="D15" s="100"/>
      <c r="E15" s="99"/>
      <c r="F15" s="72">
        <f t="shared" si="0"/>
        <v>0</v>
      </c>
      <c r="G15" s="77"/>
    </row>
    <row r="16" spans="1:7" s="4" customFormat="1" ht="12.75">
      <c r="A16" s="75" t="s">
        <v>52</v>
      </c>
      <c r="B16" s="75"/>
      <c r="C16" s="97">
        <f>SUM(C10:C15)+C5</f>
        <v>1954.3</v>
      </c>
      <c r="D16" s="98">
        <f>E16/C16</f>
        <v>97.05663920585377</v>
      </c>
      <c r="E16" s="97">
        <f>SUM(E5:E15)</f>
        <v>189677.79</v>
      </c>
      <c r="F16" s="72">
        <f t="shared" si="0"/>
        <v>189.67779000000002</v>
      </c>
      <c r="G16" s="77">
        <f>IF(C16&gt;2535,CONCATENATE("Max T/O weight exceeded by ",TEXT(C16-2535,"0.0")," lbs"),"")</f>
      </c>
    </row>
    <row r="17" spans="1:7" s="4" customFormat="1" ht="12.75">
      <c r="A17" s="76" t="s">
        <v>58</v>
      </c>
      <c r="B17" s="49">
        <v>0</v>
      </c>
      <c r="C17" s="97"/>
      <c r="D17" s="98"/>
      <c r="E17" s="97"/>
      <c r="F17" s="72"/>
      <c r="G17" s="77">
        <f>IF(B17&gt;B14,CONCATENATE("You can't use more fuel than you have. (",B14," gals)"),"")</f>
      </c>
    </row>
    <row r="18" spans="1:7" s="4" customFormat="1" ht="30" customHeight="1">
      <c r="A18" s="75" t="s">
        <v>60</v>
      </c>
      <c r="B18" s="72"/>
      <c r="C18" s="97">
        <f>C16-(B17*6)</f>
        <v>1954.3</v>
      </c>
      <c r="D18" s="100"/>
      <c r="E18" s="99"/>
      <c r="F18" s="72">
        <f>E18/1000</f>
        <v>0</v>
      </c>
      <c r="G18" s="109">
        <f>IF(C18&lt;=2407,"",CONCATENATE("Exceeds ",C8," lbs. ",CHAR(10),"Need to shed ",TEXT((C18-2407)/6,"0.0")," more gals (",TEXT((C18-2407),"0.0")," lbs) before landing"))</f>
      </c>
    </row>
    <row r="19" spans="1:7" s="4" customFormat="1" ht="12.75">
      <c r="A19" s="68"/>
      <c r="B19" s="68"/>
      <c r="C19" s="81"/>
      <c r="D19" s="68"/>
      <c r="E19" s="81"/>
      <c r="F19" s="68"/>
      <c r="G19" s="68"/>
    </row>
    <row r="20" spans="1:7" s="4" customFormat="1" ht="12.75">
      <c r="A20" s="68"/>
      <c r="B20" s="68"/>
      <c r="C20" s="68"/>
      <c r="D20" s="68"/>
      <c r="E20" s="68"/>
      <c r="F20" s="68"/>
      <c r="G20" s="68"/>
    </row>
    <row r="21" spans="1:7" s="4" customFormat="1" ht="12.75">
      <c r="A21" s="68"/>
      <c r="B21" s="68"/>
      <c r="C21" s="68"/>
      <c r="D21" s="68"/>
      <c r="E21" s="68"/>
      <c r="F21" s="68"/>
      <c r="G21" s="68"/>
    </row>
    <row r="22" spans="1:7" s="5" customFormat="1" ht="12.75">
      <c r="A22" s="82"/>
      <c r="B22" s="82"/>
      <c r="C22" s="82"/>
      <c r="D22" s="82"/>
      <c r="E22" s="82"/>
      <c r="F22" s="82"/>
      <c r="G22" s="82"/>
    </row>
    <row r="23" spans="1:7" s="4" customFormat="1" ht="12.75">
      <c r="A23" s="68"/>
      <c r="B23" s="68"/>
      <c r="C23" s="68"/>
      <c r="D23" s="68"/>
      <c r="E23" s="68"/>
      <c r="F23" s="68"/>
      <c r="G23" s="68"/>
    </row>
    <row r="24" spans="1:7" s="4" customFormat="1" ht="12.75">
      <c r="A24" s="68"/>
      <c r="B24" s="68"/>
      <c r="C24" s="68"/>
      <c r="D24" s="68"/>
      <c r="E24" s="68"/>
      <c r="F24" s="68"/>
      <c r="G24" s="68"/>
    </row>
    <row r="25" s="4" customFormat="1" ht="12.75"/>
    <row r="26" s="4" customFormat="1" ht="12.75"/>
    <row r="27" s="4" customFormat="1" ht="12.75"/>
    <row r="28" s="4" customFormat="1" ht="12.75"/>
    <row r="29" s="4" customFormat="1" ht="12.75"/>
    <row r="30" s="4" customFormat="1" ht="12.75"/>
    <row r="31" s="4" customFormat="1" ht="12.75"/>
    <row r="32" s="5" customFormat="1" ht="12.75"/>
    <row r="33" s="5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pans="1:11" ht="12.75">
      <c r="A42" s="28" t="s">
        <v>17</v>
      </c>
      <c r="B42" s="42"/>
      <c r="C42" s="29"/>
      <c r="D42" s="29"/>
      <c r="E42" s="30"/>
      <c r="G42" s="4"/>
      <c r="H42" s="4"/>
      <c r="I42" s="4"/>
      <c r="J42" s="4"/>
      <c r="K42" s="4"/>
    </row>
    <row r="43" spans="1:11" ht="12.75">
      <c r="A43" s="31" t="s">
        <v>48</v>
      </c>
      <c r="B43" s="43"/>
      <c r="C43" s="32"/>
      <c r="D43" s="32"/>
      <c r="E43" s="33"/>
      <c r="G43" s="4"/>
      <c r="H43" s="4"/>
      <c r="I43" s="4"/>
      <c r="J43" s="4"/>
      <c r="K43" s="4"/>
    </row>
    <row r="44" spans="1:11" ht="12.75">
      <c r="A44" s="6" t="s">
        <v>14</v>
      </c>
      <c r="B44" s="44"/>
      <c r="C44" s="7"/>
      <c r="D44" s="8"/>
      <c r="E44" s="9"/>
      <c r="G44" s="4"/>
      <c r="H44" s="4"/>
      <c r="I44" s="4"/>
      <c r="J44" s="4"/>
      <c r="K44" s="4"/>
    </row>
    <row r="45" spans="1:11" ht="12.75">
      <c r="A45" s="34" t="s">
        <v>12</v>
      </c>
      <c r="B45" s="45"/>
      <c r="C45" s="37"/>
      <c r="D45" s="38" t="s">
        <v>13</v>
      </c>
      <c r="E45" s="36"/>
      <c r="G45" s="4"/>
      <c r="H45" s="4"/>
      <c r="I45" s="4"/>
      <c r="J45" s="4"/>
      <c r="K45" s="4"/>
    </row>
    <row r="46" spans="1:11" ht="42">
      <c r="A46" s="11" t="s">
        <v>16</v>
      </c>
      <c r="B46" s="12"/>
      <c r="C46" s="12" t="s">
        <v>15</v>
      </c>
      <c r="D46" s="21"/>
      <c r="E46" s="22"/>
      <c r="G46" s="4"/>
      <c r="H46" s="4"/>
      <c r="I46" s="4"/>
      <c r="J46" s="4"/>
      <c r="K46" s="4"/>
    </row>
    <row r="47" spans="1:11" ht="12.75">
      <c r="A47" s="19">
        <v>94.5</v>
      </c>
      <c r="B47" s="20"/>
      <c r="C47" s="20">
        <v>1720</v>
      </c>
      <c r="D47" s="16" t="s">
        <v>28</v>
      </c>
      <c r="E47" s="17"/>
      <c r="G47" s="4"/>
      <c r="H47" s="4"/>
      <c r="I47" s="4"/>
      <c r="J47" s="4"/>
      <c r="K47" s="4"/>
    </row>
    <row r="48" spans="1:11" ht="12.75">
      <c r="A48" s="19">
        <v>94.5</v>
      </c>
      <c r="B48" s="20"/>
      <c r="C48" s="20">
        <v>2161</v>
      </c>
      <c r="D48" s="16"/>
      <c r="E48" s="17"/>
      <c r="G48" s="4"/>
      <c r="H48" s="4"/>
      <c r="I48" s="4"/>
      <c r="J48" s="4"/>
      <c r="K48" s="4"/>
    </row>
    <row r="49" spans="1:11" ht="12.75">
      <c r="A49" s="23">
        <v>96.9</v>
      </c>
      <c r="B49" s="10"/>
      <c r="C49" s="10">
        <v>2535</v>
      </c>
      <c r="D49" s="18"/>
      <c r="E49" s="17"/>
      <c r="G49" s="4"/>
      <c r="H49" s="4"/>
      <c r="I49" s="4"/>
      <c r="J49" s="4"/>
      <c r="K49" s="4"/>
    </row>
    <row r="50" spans="1:11" ht="12.75">
      <c r="A50" s="23">
        <v>102</v>
      </c>
      <c r="B50" s="10"/>
      <c r="C50" s="10">
        <v>2535</v>
      </c>
      <c r="D50" s="18"/>
      <c r="E50" s="17"/>
      <c r="G50" s="4"/>
      <c r="H50" s="4"/>
      <c r="I50" s="4"/>
      <c r="J50" s="4"/>
      <c r="K50" s="4"/>
    </row>
    <row r="51" spans="1:11" ht="12.75">
      <c r="A51" s="24">
        <v>102</v>
      </c>
      <c r="B51" s="25"/>
      <c r="C51" s="25">
        <v>1720</v>
      </c>
      <c r="D51" s="26"/>
      <c r="E51" s="27"/>
      <c r="G51" s="4"/>
      <c r="H51" s="4"/>
      <c r="I51" s="4"/>
      <c r="J51" s="4"/>
      <c r="K51" s="4"/>
    </row>
    <row r="53" spans="6:7" ht="12.75">
      <c r="F53" s="2"/>
      <c r="G53" s="2"/>
    </row>
    <row r="64" spans="6:7" ht="12.75">
      <c r="F64" s="2"/>
      <c r="G64" s="2"/>
    </row>
    <row r="65" spans="6:7" ht="12.75">
      <c r="F65" s="2"/>
      <c r="G65" s="2"/>
    </row>
  </sheetData>
  <sheetProtection password="C1EF" sheet="1"/>
  <printOptions/>
  <pageMargins left="0.75" right="0.75" top="1" bottom="1" header="0.5" footer="0.5"/>
  <pageSetup fitToHeight="1" fitToWidth="1" horizontalDpi="300" verticalDpi="300" orientation="landscape" scale="83"/>
  <headerFooter alignWithMargins="0">
    <oddFooter>&amp;LPrinted on &amp;D &amp;T&amp;RPIC must confirm accuracy of data with official aircraft documentation.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3.421875" style="0" customWidth="1"/>
    <col min="2" max="2" width="4.421875" style="0" customWidth="1"/>
    <col min="3" max="3" width="13.7109375" style="0" customWidth="1"/>
    <col min="4" max="4" width="12.7109375" style="0" customWidth="1"/>
    <col min="5" max="5" width="10.140625" style="0" bestFit="1" customWidth="1"/>
    <col min="6" max="6" width="1.1484375" style="0" customWidth="1"/>
    <col min="7" max="7" width="39.7109375" style="0" customWidth="1"/>
    <col min="8" max="8" width="8.8515625" style="0" customWidth="1"/>
    <col min="9" max="10" width="11.421875" style="0" customWidth="1"/>
    <col min="11" max="16384" width="8.8515625" style="0" customWidth="1"/>
  </cols>
  <sheetData>
    <row r="1" spans="1:8" s="60" customFormat="1" ht="22.5">
      <c r="A1" s="66" t="s">
        <v>23</v>
      </c>
      <c r="B1" s="66"/>
      <c r="C1" s="66"/>
      <c r="D1" s="66"/>
      <c r="E1" s="66"/>
      <c r="F1" s="66"/>
      <c r="G1" s="66"/>
      <c r="H1" s="56" t="str">
        <f>Menu!$B$1</f>
        <v>Last Rev: Nov. 18, 2018</v>
      </c>
    </row>
    <row r="2" spans="1:8" s="48" customFormat="1" ht="19.5">
      <c r="A2" s="67" t="s">
        <v>25</v>
      </c>
      <c r="B2" s="67"/>
      <c r="C2" s="67"/>
      <c r="D2" s="67"/>
      <c r="E2" s="67"/>
      <c r="F2" s="67"/>
      <c r="G2" s="67"/>
      <c r="H2" s="64"/>
    </row>
    <row r="3" spans="1:7" ht="12.75">
      <c r="A3" s="83" t="s">
        <v>24</v>
      </c>
      <c r="B3" s="83"/>
      <c r="C3" s="83"/>
      <c r="D3" s="83"/>
      <c r="E3" s="83"/>
      <c r="F3" s="83"/>
      <c r="G3" s="83"/>
    </row>
    <row r="4" spans="1:9" s="4" customFormat="1" ht="12.75">
      <c r="A4" s="69" t="s">
        <v>27</v>
      </c>
      <c r="B4" s="69"/>
      <c r="C4" s="70" t="s">
        <v>8</v>
      </c>
      <c r="D4" s="70" t="s">
        <v>0</v>
      </c>
      <c r="E4" s="70" t="s">
        <v>5</v>
      </c>
      <c r="F4" s="70"/>
      <c r="G4" s="71" t="s">
        <v>22</v>
      </c>
      <c r="I4" s="41"/>
    </row>
    <row r="5" spans="1:9" s="4" customFormat="1" ht="12.75">
      <c r="A5" s="72" t="s">
        <v>4</v>
      </c>
      <c r="B5" s="72"/>
      <c r="C5" s="74">
        <v>1844.4</v>
      </c>
      <c r="D5" s="73">
        <v>34.86</v>
      </c>
      <c r="E5" s="74">
        <f>C5*D5</f>
        <v>64295.784</v>
      </c>
      <c r="F5" s="104">
        <f>E5/1000</f>
        <v>64.295784</v>
      </c>
      <c r="G5" s="75" t="s">
        <v>49</v>
      </c>
      <c r="I5" s="3"/>
    </row>
    <row r="6" spans="1:9" s="4" customFormat="1" ht="12.75">
      <c r="A6" s="72" t="s">
        <v>6</v>
      </c>
      <c r="B6" s="72"/>
      <c r="C6" s="74">
        <f>C7-C5</f>
        <v>1255.6</v>
      </c>
      <c r="D6" s="73"/>
      <c r="E6" s="74"/>
      <c r="F6" s="105"/>
      <c r="G6" s="77"/>
      <c r="I6" s="3"/>
    </row>
    <row r="7" spans="1:9" s="4" customFormat="1" ht="12.75">
      <c r="A7" s="72" t="s">
        <v>7</v>
      </c>
      <c r="B7" s="72"/>
      <c r="C7" s="74">
        <v>3100</v>
      </c>
      <c r="D7" s="73"/>
      <c r="E7" s="74"/>
      <c r="F7" s="104"/>
      <c r="G7" s="76" t="s">
        <v>39</v>
      </c>
      <c r="I7" s="3"/>
    </row>
    <row r="8" spans="1:7" s="4" customFormat="1" ht="12.75">
      <c r="A8" s="72"/>
      <c r="B8" s="72"/>
      <c r="C8" s="74"/>
      <c r="D8" s="73"/>
      <c r="E8" s="74"/>
      <c r="F8" s="104"/>
      <c r="G8" s="77"/>
    </row>
    <row r="9" spans="1:7" s="4" customFormat="1" ht="12.75">
      <c r="A9" s="72" t="s">
        <v>1</v>
      </c>
      <c r="B9" s="72"/>
      <c r="C9" s="90"/>
      <c r="D9" s="73">
        <v>37</v>
      </c>
      <c r="E9" s="74">
        <f>D9*C9</f>
        <v>0</v>
      </c>
      <c r="F9" s="104">
        <f aca="true" t="shared" si="0" ref="F9:F15">E9/1000</f>
        <v>0</v>
      </c>
      <c r="G9" s="77"/>
    </row>
    <row r="10" spans="1:7" s="4" customFormat="1" ht="12.75">
      <c r="A10" s="72" t="s">
        <v>2</v>
      </c>
      <c r="B10" s="72"/>
      <c r="C10" s="90"/>
      <c r="D10" s="73">
        <v>74</v>
      </c>
      <c r="E10" s="74">
        <f>D10*C10</f>
        <v>0</v>
      </c>
      <c r="F10" s="104">
        <f t="shared" si="0"/>
        <v>0</v>
      </c>
      <c r="G10" s="77"/>
    </row>
    <row r="11" spans="1:7" s="4" customFormat="1" ht="12.75">
      <c r="A11" s="72" t="s">
        <v>29</v>
      </c>
      <c r="B11" s="72"/>
      <c r="C11" s="90"/>
      <c r="D11" s="73">
        <v>97</v>
      </c>
      <c r="E11" s="74">
        <f>D11*C11</f>
        <v>0</v>
      </c>
      <c r="F11" s="104">
        <f t="shared" si="0"/>
        <v>0</v>
      </c>
      <c r="G11" s="77">
        <f>IF(C11+C12&gt;120,"Total baggage weight can't exceed 120 lbs","")</f>
      </c>
    </row>
    <row r="12" spans="1:7" s="4" customFormat="1" ht="12.75">
      <c r="A12" s="72" t="s">
        <v>30</v>
      </c>
      <c r="B12" s="72"/>
      <c r="C12" s="90">
        <v>10</v>
      </c>
      <c r="D12" s="73">
        <v>121</v>
      </c>
      <c r="E12" s="74">
        <f>D12*C12</f>
        <v>1210</v>
      </c>
      <c r="F12" s="104">
        <f t="shared" si="0"/>
        <v>1.21</v>
      </c>
      <c r="G12" s="77">
        <f>IF(C12&gt;80,"Area B weight can not exceed 80 lbs","")</f>
      </c>
    </row>
    <row r="13" spans="1:7" s="4" customFormat="1" ht="12.75">
      <c r="A13" s="72" t="s">
        <v>21</v>
      </c>
      <c r="B13" s="50">
        <v>60</v>
      </c>
      <c r="C13" s="74">
        <f>B13*6</f>
        <v>360</v>
      </c>
      <c r="D13" s="73">
        <v>46.5</v>
      </c>
      <c r="E13" s="74">
        <f>D13*C13</f>
        <v>16740</v>
      </c>
      <c r="F13" s="104">
        <f t="shared" si="0"/>
        <v>16.74</v>
      </c>
      <c r="G13" s="77">
        <f>IF(B13&gt;88,"Usable fuel can not exceed 88 gals","")</f>
      </c>
    </row>
    <row r="14" spans="1:7" s="4" customFormat="1" ht="12.75">
      <c r="A14" s="72"/>
      <c r="B14" s="72"/>
      <c r="C14" s="74"/>
      <c r="D14" s="73"/>
      <c r="E14" s="74"/>
      <c r="F14" s="104">
        <f t="shared" si="0"/>
        <v>0</v>
      </c>
      <c r="G14" s="77"/>
    </row>
    <row r="15" spans="1:7" s="4" customFormat="1" ht="12.75">
      <c r="A15" s="75" t="s">
        <v>52</v>
      </c>
      <c r="B15" s="75"/>
      <c r="C15" s="79">
        <f>SUM(C9:C14)+C5</f>
        <v>2214.4</v>
      </c>
      <c r="D15" s="78">
        <f>E15/C15</f>
        <v>37.141340317919074</v>
      </c>
      <c r="E15" s="79">
        <f>SUM(E5:E14)</f>
        <v>82245.784</v>
      </c>
      <c r="F15" s="104">
        <f t="shared" si="0"/>
        <v>82.245784</v>
      </c>
      <c r="G15" s="77">
        <f>IF(C15&gt;3100,CONCATENATE("Max T/O weight exceeded by ",ROUND(C15-3100,0)," lbs"),"")</f>
      </c>
    </row>
    <row r="16" spans="1:7" s="4" customFormat="1" ht="12.75">
      <c r="A16" s="68"/>
      <c r="B16" s="68"/>
      <c r="C16" s="81"/>
      <c r="D16" s="68"/>
      <c r="E16" s="81"/>
      <c r="F16" s="68"/>
      <c r="G16" s="68"/>
    </row>
    <row r="17" spans="1:7" s="4" customFormat="1" ht="12.75">
      <c r="A17" s="68"/>
      <c r="B17" s="68"/>
      <c r="C17" s="81"/>
      <c r="D17" s="68"/>
      <c r="E17" s="81"/>
      <c r="F17" s="68"/>
      <c r="G17" s="68"/>
    </row>
    <row r="18" spans="1:7" s="4" customFormat="1" ht="12.75">
      <c r="A18" s="68"/>
      <c r="B18" s="68"/>
      <c r="C18" s="68"/>
      <c r="D18" s="68"/>
      <c r="E18" s="68"/>
      <c r="F18" s="68"/>
      <c r="G18" s="68"/>
    </row>
    <row r="19" spans="1:7" s="4" customFormat="1" ht="12.75">
      <c r="A19" s="68"/>
      <c r="B19" s="68"/>
      <c r="C19" s="68"/>
      <c r="D19" s="68"/>
      <c r="E19" s="68"/>
      <c r="F19" s="68"/>
      <c r="G19" s="68"/>
    </row>
    <row r="20" spans="1:7" s="5" customFormat="1" ht="12.75">
      <c r="A20" s="82"/>
      <c r="B20" s="82"/>
      <c r="C20" s="82"/>
      <c r="D20" s="82"/>
      <c r="E20" s="82"/>
      <c r="F20" s="82"/>
      <c r="G20" s="82"/>
    </row>
    <row r="21" spans="1:7" s="4" customFormat="1" ht="12.75">
      <c r="A21" s="68"/>
      <c r="B21" s="68"/>
      <c r="C21" s="68"/>
      <c r="D21" s="68"/>
      <c r="E21" s="68"/>
      <c r="F21" s="68"/>
      <c r="G21" s="68"/>
    </row>
    <row r="22" spans="1:7" s="4" customFormat="1" ht="12.75">
      <c r="A22" s="68"/>
      <c r="B22" s="68"/>
      <c r="C22" s="68"/>
      <c r="D22" s="68"/>
      <c r="E22" s="68"/>
      <c r="F22" s="68"/>
      <c r="G22" s="68"/>
    </row>
    <row r="23" s="4" customFormat="1" ht="12.75"/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  <row r="30" s="5" customFormat="1" ht="12.75"/>
    <row r="31" s="5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pans="1:11" ht="12.75">
      <c r="A40" s="28" t="s">
        <v>17</v>
      </c>
      <c r="B40" s="42"/>
      <c r="C40" s="29"/>
      <c r="D40" s="29"/>
      <c r="E40" s="30"/>
      <c r="G40" s="28" t="s">
        <v>17</v>
      </c>
      <c r="H40" s="42"/>
      <c r="I40" s="29"/>
      <c r="J40" s="29"/>
      <c r="K40" s="30"/>
    </row>
    <row r="41" spans="1:11" ht="12.75">
      <c r="A41" s="31" t="s">
        <v>19</v>
      </c>
      <c r="B41" s="43"/>
      <c r="C41" s="32"/>
      <c r="D41" s="32"/>
      <c r="E41" s="33"/>
      <c r="G41" s="31" t="s">
        <v>19</v>
      </c>
      <c r="H41" s="43"/>
      <c r="I41" s="32"/>
      <c r="J41" s="32"/>
      <c r="K41" s="33"/>
    </row>
    <row r="42" spans="1:11" ht="12.75">
      <c r="A42" s="6" t="s">
        <v>11</v>
      </c>
      <c r="B42" s="44"/>
      <c r="C42" s="7"/>
      <c r="D42" s="8"/>
      <c r="E42" s="9"/>
      <c r="G42" s="6" t="s">
        <v>14</v>
      </c>
      <c r="H42" s="44"/>
      <c r="I42" s="7"/>
      <c r="J42" s="8"/>
      <c r="K42" s="9"/>
    </row>
    <row r="43" spans="1:11" ht="12.75">
      <c r="A43" s="34" t="s">
        <v>12</v>
      </c>
      <c r="B43" s="45"/>
      <c r="C43" s="35"/>
      <c r="D43" s="38" t="s">
        <v>13</v>
      </c>
      <c r="E43" s="36"/>
      <c r="G43" s="34" t="s">
        <v>12</v>
      </c>
      <c r="H43" s="45"/>
      <c r="I43" s="37"/>
      <c r="J43" s="38" t="s">
        <v>13</v>
      </c>
      <c r="K43" s="39"/>
    </row>
    <row r="44" spans="1:11" ht="42">
      <c r="A44" s="19" t="s">
        <v>10</v>
      </c>
      <c r="B44" s="20"/>
      <c r="C44" s="20" t="s">
        <v>9</v>
      </c>
      <c r="D44" s="21"/>
      <c r="E44" s="22"/>
      <c r="G44" s="11" t="s">
        <v>16</v>
      </c>
      <c r="H44" s="12"/>
      <c r="I44" s="12" t="s">
        <v>15</v>
      </c>
      <c r="J44" s="13"/>
      <c r="K44" s="14"/>
    </row>
    <row r="45" spans="1:11" ht="12.75">
      <c r="A45" s="15">
        <v>59</v>
      </c>
      <c r="B45" s="46"/>
      <c r="C45" s="10">
        <v>1800</v>
      </c>
      <c r="D45" s="16" t="s">
        <v>28</v>
      </c>
      <c r="E45" s="17"/>
      <c r="G45" s="19">
        <v>33</v>
      </c>
      <c r="H45" s="20"/>
      <c r="I45" s="20">
        <v>1800</v>
      </c>
      <c r="J45" s="16" t="s">
        <v>28</v>
      </c>
      <c r="K45" s="22"/>
    </row>
    <row r="46" spans="1:11" ht="12.75">
      <c r="A46" s="15">
        <v>74</v>
      </c>
      <c r="B46" s="46"/>
      <c r="C46" s="10">
        <v>2260</v>
      </c>
      <c r="D46" s="16"/>
      <c r="E46" s="17"/>
      <c r="G46" s="23">
        <v>33</v>
      </c>
      <c r="H46" s="10"/>
      <c r="I46" s="10">
        <v>2260</v>
      </c>
      <c r="J46" s="18"/>
      <c r="K46" s="17"/>
    </row>
    <row r="47" spans="1:11" ht="12.75">
      <c r="A47" s="15">
        <v>100</v>
      </c>
      <c r="B47" s="46"/>
      <c r="C47" s="10">
        <v>2760</v>
      </c>
      <c r="D47" s="18"/>
      <c r="E47" s="17"/>
      <c r="G47" s="23">
        <v>35.5</v>
      </c>
      <c r="H47" s="10"/>
      <c r="I47" s="10">
        <v>2700</v>
      </c>
      <c r="J47" s="18"/>
      <c r="K47" s="17"/>
    </row>
    <row r="48" spans="1:11" ht="12.75">
      <c r="A48" s="15">
        <v>126.5</v>
      </c>
      <c r="B48" s="46"/>
      <c r="C48" s="10">
        <v>3100</v>
      </c>
      <c r="D48" s="18"/>
      <c r="E48" s="17"/>
      <c r="G48" s="23">
        <v>40.9</v>
      </c>
      <c r="H48" s="10"/>
      <c r="I48" s="10">
        <v>3100</v>
      </c>
      <c r="J48" s="18"/>
      <c r="K48" s="17"/>
    </row>
    <row r="49" spans="1:11" ht="12.75">
      <c r="A49" s="15">
        <v>146</v>
      </c>
      <c r="B49" s="46"/>
      <c r="C49" s="10">
        <v>3100</v>
      </c>
      <c r="D49" s="18"/>
      <c r="E49" s="17"/>
      <c r="G49" s="23">
        <v>47</v>
      </c>
      <c r="H49" s="10"/>
      <c r="I49" s="10">
        <v>3100</v>
      </c>
      <c r="J49" s="18"/>
      <c r="K49" s="17"/>
    </row>
    <row r="50" spans="1:11" ht="12.75">
      <c r="A50" s="61">
        <v>84.5</v>
      </c>
      <c r="B50" s="62"/>
      <c r="C50" s="25">
        <v>1800</v>
      </c>
      <c r="D50" s="26"/>
      <c r="E50" s="27"/>
      <c r="G50" s="24">
        <v>47</v>
      </c>
      <c r="H50" s="25"/>
      <c r="I50" s="25">
        <v>1800</v>
      </c>
      <c r="J50" s="26"/>
      <c r="K50" s="27"/>
    </row>
    <row r="52" spans="6:7" ht="12.75">
      <c r="F52" s="2"/>
      <c r="G52" s="2"/>
    </row>
    <row r="63" spans="6:7" ht="12.75">
      <c r="F63" s="2"/>
      <c r="G63" s="2"/>
    </row>
    <row r="64" spans="6:7" ht="12.75">
      <c r="F64" s="2"/>
      <c r="G64" s="2"/>
    </row>
  </sheetData>
  <sheetProtection password="C1EF" sheet="1"/>
  <printOptions/>
  <pageMargins left="0.75" right="0.75" top="1" bottom="1" header="0.5" footer="0.5"/>
  <pageSetup fitToHeight="1" fitToWidth="1" horizontalDpi="300" verticalDpi="300" orientation="landscape" scale="83"/>
  <headerFooter alignWithMargins="0">
    <oddFooter>&amp;LPrinted on &amp;D &amp;T&amp;RPIC must confirm accuracy of data with official aircraft documentation.</oddFooter>
  </headerFooter>
  <ignoredErrors>
    <ignoredError sqref="C13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7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16.00390625" style="55" customWidth="1"/>
    <col min="2" max="2" width="75.28125" style="0" customWidth="1"/>
    <col min="3" max="16384" width="8.8515625" style="0" customWidth="1"/>
  </cols>
  <sheetData>
    <row r="2" ht="12.75">
      <c r="A2" s="85" t="s">
        <v>38</v>
      </c>
    </row>
    <row r="3" ht="12.75">
      <c r="A3" s="85"/>
    </row>
    <row r="4" spans="1:2" ht="13.5" thickBot="1">
      <c r="A4" s="86" t="s">
        <v>33</v>
      </c>
      <c r="B4" s="87" t="s">
        <v>34</v>
      </c>
    </row>
    <row r="5" spans="1:2" ht="13.5" thickTop="1">
      <c r="A5" s="110">
        <v>43422</v>
      </c>
      <c r="B5" s="111" t="s">
        <v>64</v>
      </c>
    </row>
    <row r="6" spans="1:2" ht="12.75">
      <c r="A6" s="106">
        <v>42701</v>
      </c>
      <c r="B6" s="107" t="s">
        <v>61</v>
      </c>
    </row>
    <row r="7" spans="1:2" ht="12.75">
      <c r="A7" s="106">
        <v>42694</v>
      </c>
      <c r="B7" s="107" t="s">
        <v>51</v>
      </c>
    </row>
    <row r="8" spans="1:2" ht="12.75">
      <c r="A8" s="108"/>
      <c r="B8" s="107" t="s">
        <v>50</v>
      </c>
    </row>
    <row r="9" spans="1:2" ht="12.75">
      <c r="A9" s="56">
        <v>42162</v>
      </c>
      <c r="B9" s="92" t="s">
        <v>45</v>
      </c>
    </row>
    <row r="10" spans="1:2" ht="12.75">
      <c r="A10" s="56">
        <v>41742</v>
      </c>
      <c r="B10" s="92" t="s">
        <v>44</v>
      </c>
    </row>
    <row r="11" spans="1:2" ht="12.75">
      <c r="A11" s="56">
        <v>41189</v>
      </c>
      <c r="B11" s="92" t="s">
        <v>41</v>
      </c>
    </row>
    <row r="12" ht="12.75">
      <c r="B12" s="92" t="s">
        <v>43</v>
      </c>
    </row>
    <row r="13" spans="1:2" ht="12.75">
      <c r="A13" s="56">
        <v>41175</v>
      </c>
      <c r="B13" s="92" t="s">
        <v>42</v>
      </c>
    </row>
    <row r="14" spans="1:2" ht="12.75">
      <c r="A14" s="56">
        <v>40854</v>
      </c>
      <c r="B14" s="92" t="s">
        <v>40</v>
      </c>
    </row>
    <row r="15" spans="1:2" ht="12.75">
      <c r="A15" s="56">
        <v>39627</v>
      </c>
      <c r="B15" t="s">
        <v>35</v>
      </c>
    </row>
    <row r="16" spans="1:2" ht="12.75">
      <c r="A16" s="56">
        <v>39570</v>
      </c>
      <c r="B16" t="s">
        <v>36</v>
      </c>
    </row>
    <row r="17" spans="1:2" ht="12.75">
      <c r="A17" s="56">
        <v>39035</v>
      </c>
      <c r="B17" t="s">
        <v>37</v>
      </c>
    </row>
  </sheetData>
  <sheetProtection password="C1EF" sheet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cp:lastPrinted>2006-11-14T18:48:58Z</cp:lastPrinted>
  <dcterms:created xsi:type="dcterms:W3CDTF">1996-10-14T23:33:28Z</dcterms:created>
  <dcterms:modified xsi:type="dcterms:W3CDTF">2018-11-18T13:55:48Z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